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drawings/drawing5.xml" ContentType="application/vnd.openxmlformats-officedocument.drawingml.chartshapes+xml"/>
  <Override PartName="/xl/charts/chart8.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9.xml" ContentType="application/vnd.openxmlformats-officedocument.drawingml.chart+xml"/>
  <Override PartName="/xl/drawings/drawing8.xml" ContentType="application/vnd.openxmlformats-officedocument.drawingml.chartshapes+xml"/>
  <Override PartName="/xl/charts/chart10.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11.xml" ContentType="application/vnd.openxmlformats-officedocument.drawingml.chart+xml"/>
  <Override PartName="/xl/drawings/drawing11.xml" ContentType="application/vnd.openxmlformats-officedocument.drawingml.chartshapes+xml"/>
  <Override PartName="/xl/charts/chart12.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5"/>
  <workbookPr/>
  <mc:AlternateContent xmlns:mc="http://schemas.openxmlformats.org/markup-compatibility/2006">
    <mc:Choice Requires="x15">
      <x15ac:absPath xmlns:x15ac="http://schemas.microsoft.com/office/spreadsheetml/2010/11/ac" url="/Users/jameshudson/Downloads/"/>
    </mc:Choice>
  </mc:AlternateContent>
  <xr:revisionPtr revIDLastSave="0" documentId="13_ncr:1_{D0A79DE6-8877-F24B-B5BD-A6A9BE288D08}" xr6:coauthVersionLast="47" xr6:coauthVersionMax="47" xr10:uidLastSave="{00000000-0000-0000-0000-000000000000}"/>
  <bookViews>
    <workbookView xWindow="0" yWindow="760" windowWidth="33960" windowHeight="18360" tabRatio="851" activeTab="2" xr2:uid="{00000000-000D-0000-FFFF-FFFF00000000}"/>
  </bookViews>
  <sheets>
    <sheet name="Instructions" sheetId="1" r:id="rId1"/>
    <sheet name="Trip Planner - Distance " sheetId="2" r:id="rId2"/>
    <sheet name="N121M-C182Q" sheetId="11" r:id="rId3"/>
    <sheet name="N7593S-C182Q" sheetId="3" r:id="rId4"/>
    <sheet name="N9989E-C182P" sheetId="4" r:id="rId5"/>
    <sheet name="N1293F-C172N" sheetId="10" r:id="rId6"/>
    <sheet name="N13686-C172M " sheetId="6" r:id="rId7"/>
    <sheet name="N4464R-C172M" sheetId="7" r:id="rId8"/>
    <sheet name="N67375-C152 " sheetId="8" r:id="rId9"/>
  </sheets>
  <externalReferences>
    <externalReference r:id="rId10"/>
  </externalReferences>
  <definedNames>
    <definedName name="Arrival_CG">'[1]CG Envelopes'!$O$14</definedName>
    <definedName name="Arrival_Fuel" localSheetId="2">'N121M-C182Q'!$M$20</definedName>
    <definedName name="Arrival_Fuel" localSheetId="5">'N1293F-C172N'!$L$21</definedName>
    <definedName name="Arrival_Fuel" localSheetId="6">'N13686-C172M '!$L$21</definedName>
    <definedName name="Arrival_Fuel" localSheetId="7">'N4464R-C172M'!$L$21</definedName>
    <definedName name="Arrival_Fuel" localSheetId="8">'N67375-C152 '!$L$19</definedName>
    <definedName name="Arrival_Fuel" localSheetId="4">'N9989E-C182P'!$M$20</definedName>
    <definedName name="Arrival_Fuel">'N7593S-C182Q'!$M$20</definedName>
    <definedName name="Arrival_Fuel_Weight" localSheetId="2">'N121M-C182Q'!$N$20</definedName>
    <definedName name="Arrival_Fuel_Weight" localSheetId="5">'N1293F-C172N'!$M$21</definedName>
    <definedName name="Arrival_Fuel_Weight" localSheetId="6">'N13686-C172M '!$M$21</definedName>
    <definedName name="Arrival_Fuel_Weight" localSheetId="7">'N4464R-C172M'!$M$21</definedName>
    <definedName name="Arrival_Fuel_Weight" localSheetId="8">'N67375-C152 '!$M$19</definedName>
    <definedName name="Arrival_Fuel_Weight" localSheetId="4">'N9989E-C182P'!$N$20</definedName>
    <definedName name="Arrival_Fuel_Weight">'N7593S-C182Q'!$N$20</definedName>
    <definedName name="Baggage_1" localSheetId="2">'N121M-C182Q'!$E$18</definedName>
    <definedName name="Baggage_1" localSheetId="5">'N1293F-C172N'!$E$19</definedName>
    <definedName name="Baggage_1" localSheetId="6">'N13686-C172M '!$E$19</definedName>
    <definedName name="Baggage_1" localSheetId="7">'N4464R-C172M'!$E$19</definedName>
    <definedName name="Baggage_1" localSheetId="8">'N67375-C152 '!$E$17</definedName>
    <definedName name="Baggage_1" localSheetId="4">'N9989E-C182P'!$E$18</definedName>
    <definedName name="Baggage_1">'N7593S-C182Q'!$E$18</definedName>
    <definedName name="Baggage_1_Arm" localSheetId="2">'N121M-C182Q'!$G$18</definedName>
    <definedName name="Baggage_1_Arm" localSheetId="5">'N1293F-C172N'!$F$19</definedName>
    <definedName name="Baggage_1_Arm" localSheetId="6">'N13686-C172M '!$F$19</definedName>
    <definedName name="Baggage_1_Arm" localSheetId="7">'N4464R-C172M'!$F$19</definedName>
    <definedName name="Baggage_1_Arm" localSheetId="8">'N67375-C152 '!$F$17</definedName>
    <definedName name="Baggage_1_Arm" localSheetId="4">'N9989E-C182P'!$G$18</definedName>
    <definedName name="Baggage_1_Arm">'N7593S-C182Q'!$G$18</definedName>
    <definedName name="Baggage_1_Moment" localSheetId="2">'N121M-C182Q'!$H$18</definedName>
    <definedName name="Baggage_1_Moment" localSheetId="5">'N1293F-C172N'!$G$19</definedName>
    <definedName name="Baggage_1_Moment" localSheetId="6">'N13686-C172M '!$G$19</definedName>
    <definedName name="Baggage_1_Moment" localSheetId="7">'N4464R-C172M'!$G$19</definedName>
    <definedName name="Baggage_1_Moment" localSheetId="8">'N67375-C152 '!$G$17</definedName>
    <definedName name="Baggage_1_Moment" localSheetId="4">'N9989E-C182P'!$H$18</definedName>
    <definedName name="Baggage_1_Moment">'N7593S-C182Q'!$H$18</definedName>
    <definedName name="Baggage_2" localSheetId="2">'N121M-C182Q'!$E$19</definedName>
    <definedName name="Baggage_2" localSheetId="5">'N1293F-C172N'!$E$20</definedName>
    <definedName name="Baggage_2" localSheetId="6">'N13686-C172M '!$E$20</definedName>
    <definedName name="Baggage_2" localSheetId="7">'N4464R-C172M'!$E$20</definedName>
    <definedName name="Baggage_2" localSheetId="8">'N67375-C152 '!$E$18</definedName>
    <definedName name="Baggage_2" localSheetId="4">'N9989E-C182P'!$E$19</definedName>
    <definedName name="Baggage_2">'N7593S-C182Q'!$E$19</definedName>
    <definedName name="Baggage_2_Arm" localSheetId="2">'N121M-C182Q'!$G$19</definedName>
    <definedName name="Baggage_2_Arm" localSheetId="5">'N1293F-C172N'!$F$20</definedName>
    <definedName name="Baggage_2_Arm" localSheetId="6">'N13686-C172M '!$F$20</definedName>
    <definedName name="Baggage_2_Arm" localSheetId="7">'N4464R-C172M'!$F$20</definedName>
    <definedName name="Baggage_2_Arm" localSheetId="8">'N67375-C152 '!$F$18</definedName>
    <definedName name="Baggage_2_Arm" localSheetId="4">'N9989E-C182P'!$G$19</definedName>
    <definedName name="Baggage_2_Arm">'N7593S-C182Q'!$G$19</definedName>
    <definedName name="Baggage_2_Moment" localSheetId="2">'N121M-C182Q'!$H$19</definedName>
    <definedName name="Baggage_2_Moment" localSheetId="5">'N1293F-C172N'!$G$20</definedName>
    <definedName name="Baggage_2_Moment" localSheetId="6">'N13686-C172M '!$G$20</definedName>
    <definedName name="Baggage_2_Moment" localSheetId="7">'N4464R-C172M'!$G$20</definedName>
    <definedName name="Baggage_2_Moment" localSheetId="8">'N67375-C152 '!$G$18</definedName>
    <definedName name="Baggage_2_Moment" localSheetId="4">'N9989E-C182P'!$H$19</definedName>
    <definedName name="Baggage_2_Moment">'N7593S-C182Q'!$H$19</definedName>
    <definedName name="Departure_CG" localSheetId="2">'N121M-C182Q'!$H$23</definedName>
    <definedName name="Departure_CG" localSheetId="5">'N1293F-C172N'!$G$24</definedName>
    <definedName name="Departure_CG" localSheetId="6">'N13686-C172M '!$G$24</definedName>
    <definedName name="Departure_CG" localSheetId="7">'N4464R-C172M'!$G$24</definedName>
    <definedName name="Departure_CG" localSheetId="8">'N67375-C152 '!$G$22</definedName>
    <definedName name="Departure_CG" localSheetId="4">'N9989E-C182P'!$H$23</definedName>
    <definedName name="Departure_CG">'N7593S-C182Q'!$H$23</definedName>
    <definedName name="Departure_Fuel" localSheetId="2">'N121M-C182Q'!$D$20</definedName>
    <definedName name="Departure_Fuel" localSheetId="5">'N1293F-C172N'!$D$21</definedName>
    <definedName name="Departure_Fuel" localSheetId="6">'N13686-C172M '!$D$21</definedName>
    <definedName name="Departure_Fuel" localSheetId="7">'N4464R-C172M'!$D$21</definedName>
    <definedName name="Departure_Fuel" localSheetId="8">'N67375-C152 '!$D$19</definedName>
    <definedName name="Departure_Fuel" localSheetId="4">'N9989E-C182P'!$D$20</definedName>
    <definedName name="Departure_Fuel">'N7593S-C182Q'!$D$20</definedName>
    <definedName name="Departure_Fuel_Moment" localSheetId="2">'N121M-C182Q'!$H$21</definedName>
    <definedName name="Departure_Fuel_Moment" localSheetId="5">'N1293F-C172N'!$G$22</definedName>
    <definedName name="Departure_Fuel_Moment" localSheetId="6">'N13686-C172M '!$G$22</definedName>
    <definedName name="Departure_Fuel_Moment" localSheetId="7">'N4464R-C172M'!$G$22</definedName>
    <definedName name="Departure_Fuel_Moment" localSheetId="8">'N67375-C152 '!$G$20</definedName>
    <definedName name="Departure_Fuel_Moment" localSheetId="4">'N9989E-C182P'!$H$21</definedName>
    <definedName name="Departure_Fuel_Moment">'N7593S-C182Q'!$H$21</definedName>
    <definedName name="Departure_Fuel_Weight" localSheetId="2">'N121M-C182Q'!$E$20</definedName>
    <definedName name="Departure_Fuel_Weight" localSheetId="5">'N1293F-C172N'!$E$21</definedName>
    <definedName name="Departure_Fuel_Weight" localSheetId="6">'N13686-C172M '!$E$21</definedName>
    <definedName name="Departure_Fuel_Weight" localSheetId="7">'N4464R-C172M'!$E$21</definedName>
    <definedName name="Departure_Fuel_Weight" localSheetId="8">'N67375-C152 '!$E$19</definedName>
    <definedName name="Departure_Fuel_Weight" localSheetId="4">'N9989E-C182P'!$E$20</definedName>
    <definedName name="Departure_Fuel_Weight">'N7593S-C182Q'!$E$20</definedName>
    <definedName name="Empty_Arm" localSheetId="2">'N121M-C182Q'!$G$15</definedName>
    <definedName name="Empty_Arm" localSheetId="5">'N1293F-C172N'!$F$15</definedName>
    <definedName name="Empty_Arm" localSheetId="6">'N13686-C172M '!$F$15</definedName>
    <definedName name="Empty_Arm" localSheetId="7">'N4464R-C172M'!$F$15</definedName>
    <definedName name="Empty_Arm" localSheetId="8">'N67375-C152 '!$F$15</definedName>
    <definedName name="Empty_Arm" localSheetId="4">'N9989E-C182P'!$G$15</definedName>
    <definedName name="Empty_Arm">'N7593S-C182Q'!$G$15</definedName>
    <definedName name="Empty_Moment" localSheetId="2">'N121M-C182Q'!$H$15</definedName>
    <definedName name="Empty_Moment" localSheetId="5">'N1293F-C172N'!$G$15</definedName>
    <definedName name="Empty_Moment" localSheetId="6">'N13686-C172M '!$G$15</definedName>
    <definedName name="Empty_Moment" localSheetId="7">'N4464R-C172M'!$G$15</definedName>
    <definedName name="Empty_Moment" localSheetId="8">'N67375-C152 '!$G$15</definedName>
    <definedName name="Empty_Moment" localSheetId="4">'N9989E-C182P'!$H$15</definedName>
    <definedName name="Empty_Moment">'N7593S-C182Q'!$H$15</definedName>
    <definedName name="Empty_Weight" localSheetId="2">'N121M-C182Q'!$E$15</definedName>
    <definedName name="Empty_Weight" localSheetId="5">'N1293F-C172N'!$E$15</definedName>
    <definedName name="Empty_Weight" localSheetId="6">'N13686-C172M '!$E$15</definedName>
    <definedName name="Empty_Weight" localSheetId="7">'N4464R-C172M'!$E$15</definedName>
    <definedName name="Empty_Weight" localSheetId="8">'N67375-C152 '!$E$15</definedName>
    <definedName name="Empty_Weight" localSheetId="4">'N9989E-C182P'!$E$15</definedName>
    <definedName name="Empty_Weight">'N7593S-C182Q'!$E$15</definedName>
    <definedName name="Front_Passenger_Arm" localSheetId="2">'N121M-C182Q'!$G$16</definedName>
    <definedName name="Front_Passenger_Arm" localSheetId="5">'N1293F-C172N'!$F$16</definedName>
    <definedName name="Front_Passenger_Arm" localSheetId="6">'N13686-C172M '!$F$16</definedName>
    <definedName name="Front_Passenger_Arm" localSheetId="7">'N4464R-C172M'!$F$16</definedName>
    <definedName name="Front_Passenger_Arm" localSheetId="8">'N67375-C152 '!$F$16</definedName>
    <definedName name="Front_Passenger_Arm" localSheetId="4">'N9989E-C182P'!$G$16</definedName>
    <definedName name="Front_Passenger_Arm">'N7593S-C182Q'!$G$16</definedName>
    <definedName name="Front_Passenger_Moment" localSheetId="2">'N121M-C182Q'!$H$16</definedName>
    <definedName name="Front_Passenger_Moment" localSheetId="5">'N1293F-C172N'!$G$16</definedName>
    <definedName name="Front_Passenger_Moment" localSheetId="6">'N13686-C172M '!$G$16</definedName>
    <definedName name="Front_Passenger_Moment" localSheetId="7">'N4464R-C172M'!$G$16</definedName>
    <definedName name="Front_Passenger_Moment" localSheetId="8">'N67375-C152 '!$G$16</definedName>
    <definedName name="Front_Passenger_Moment" localSheetId="4">'N9989E-C182P'!$H$16</definedName>
    <definedName name="Front_Passenger_Moment">'N7593S-C182Q'!$H$16</definedName>
    <definedName name="Front_Passengers" localSheetId="2">'N121M-C182Q'!$E$16</definedName>
    <definedName name="Front_Passengers" localSheetId="5">'N1293F-C172N'!$E$16</definedName>
    <definedName name="Front_Passengers" localSheetId="6">'N13686-C172M '!$E$16</definedName>
    <definedName name="Front_Passengers" localSheetId="7">'N4464R-C172M'!$E$16</definedName>
    <definedName name="Front_Passengers" localSheetId="8">'N67375-C152 '!$E$16</definedName>
    <definedName name="Front_Passengers" localSheetId="4">'N9989E-C182P'!$E$16</definedName>
    <definedName name="Front_Passengers">'N7593S-C182Q'!$E$16</definedName>
    <definedName name="Fuel_Arm" localSheetId="2">'N121M-C182Q'!$G$20</definedName>
    <definedName name="Fuel_Arm" localSheetId="5">'N1293F-C172N'!$F$21</definedName>
    <definedName name="Fuel_Arm" localSheetId="6">'N13686-C172M '!$F$21</definedName>
    <definedName name="Fuel_Arm" localSheetId="7">'N4464R-C172M'!$F$21</definedName>
    <definedName name="Fuel_Arm" localSheetId="8">'N67375-C152 '!$F$19</definedName>
    <definedName name="Fuel_Arm" localSheetId="4">'N9989E-C182P'!$G$20</definedName>
    <definedName name="Fuel_Arm">'N7593S-C182Q'!$G$20</definedName>
    <definedName name="Grnd_Ops_Fuel" localSheetId="2">'N121M-C182Q'!$D$21</definedName>
    <definedName name="Grnd_Ops_Fuel" localSheetId="5">'N1293F-C172N'!$D$22</definedName>
    <definedName name="Grnd_Ops_Fuel" localSheetId="6">'N13686-C172M '!$D$22</definedName>
    <definedName name="Grnd_Ops_Fuel" localSheetId="7">'N4464R-C172M'!$D$22</definedName>
    <definedName name="Grnd_Ops_Fuel" localSheetId="8">'N67375-C152 '!$D$20</definedName>
    <definedName name="Grnd_Ops_Fuel" localSheetId="4">'N9989E-C182P'!$D$21</definedName>
    <definedName name="Grnd_Ops_Fuel">'N7593S-C182Q'!$D$21</definedName>
    <definedName name="Grnd_Ops_Fuel_Weight" localSheetId="2">'N121M-C182Q'!$E$21</definedName>
    <definedName name="Grnd_Ops_Fuel_Weight" localSheetId="5">'N1293F-C172N'!$E$22</definedName>
    <definedName name="Grnd_Ops_Fuel_Weight" localSheetId="6">'N13686-C172M '!$E$22</definedName>
    <definedName name="Grnd_Ops_Fuel_Weight" localSheetId="7">'N4464R-C172M'!$E$22</definedName>
    <definedName name="Grnd_Ops_Fuel_Weight" localSheetId="8">'N67375-C152 '!$E$20</definedName>
    <definedName name="Grnd_Ops_Fuel_Weight" localSheetId="4">'N9989E-C182P'!$E$21</definedName>
    <definedName name="Grnd_Ops_Fuel_Weight">'N7593S-C182Q'!$E$21</definedName>
    <definedName name="_xlnm.Print_Area" localSheetId="2">'N121M-C182Q'!$B$2:$P$50</definedName>
    <definedName name="_xlnm.Print_Area" localSheetId="5">'N1293F-C172N'!$B$2:$O$51</definedName>
    <definedName name="_xlnm.Print_Area" localSheetId="6">'N13686-C172M '!$B$2:$O$51</definedName>
    <definedName name="_xlnm.Print_Area" localSheetId="7">'N4464R-C172M'!$B$2:$O$51</definedName>
    <definedName name="_xlnm.Print_Area" localSheetId="8">'N67375-C152 '!$B$2:$O$51</definedName>
    <definedName name="_xlnm.Print_Area" localSheetId="3">'N7593S-C182Q'!$B$2:$P$50</definedName>
    <definedName name="_xlnm.Print_Area" localSheetId="4">'N9989E-C182P'!$B$2:$P$50</definedName>
    <definedName name="_xlnm.Print_Area" localSheetId="1">'Trip Planner - Distance '!$B$24:$J$60</definedName>
    <definedName name="Rear_Passenger_Arm" localSheetId="2">'N121M-C182Q'!$G$17</definedName>
    <definedName name="Rear_Passenger_Arm" localSheetId="5">'N1293F-C172N'!$F$17</definedName>
    <definedName name="Rear_Passenger_Arm" localSheetId="6">'N13686-C172M '!$F$17</definedName>
    <definedName name="Rear_Passenger_Arm" localSheetId="7">'N4464R-C172M'!$F$17</definedName>
    <definedName name="Rear_Passenger_Arm" localSheetId="8">'N67375-C152 '!#REF!</definedName>
    <definedName name="Rear_Passenger_Arm" localSheetId="4">'N9989E-C182P'!$G$17</definedName>
    <definedName name="Rear_Passenger_Arm">'N7593S-C182Q'!$G$17</definedName>
    <definedName name="Rear_Passenger_Moment" localSheetId="2">'N121M-C182Q'!$H$17</definedName>
    <definedName name="Rear_Passenger_Moment" localSheetId="5">'N1293F-C172N'!$G$17</definedName>
    <definedName name="Rear_Passenger_Moment" localSheetId="6">'N13686-C172M '!$G$17</definedName>
    <definedName name="Rear_Passenger_Moment" localSheetId="7">'N4464R-C172M'!$G$17</definedName>
    <definedName name="Rear_Passenger_Moment" localSheetId="8">'N67375-C152 '!#REF!</definedName>
    <definedName name="Rear_Passenger_Moment" localSheetId="4">'N9989E-C182P'!$H$17</definedName>
    <definedName name="Rear_Passenger_Moment">'N7593S-C182Q'!$H$17</definedName>
    <definedName name="Rear_Passengers" localSheetId="2">'N121M-C182Q'!$E$17</definedName>
    <definedName name="Rear_Passengers" localSheetId="5">'N1293F-C172N'!$E$17</definedName>
    <definedName name="Rear_Passengers" localSheetId="6">'N13686-C172M '!$E$17</definedName>
    <definedName name="Rear_Passengers" localSheetId="7">'N4464R-C172M'!$E$17</definedName>
    <definedName name="Rear_Passengers" localSheetId="8">'N67375-C152 '!#REF!</definedName>
    <definedName name="Rear_Passengers" localSheetId="4">'N9989E-C182P'!$E$17</definedName>
    <definedName name="Rear_Passengers">'N7593S-C182Q'!$E$17</definedName>
    <definedName name="Total_Arrival_Arm" localSheetId="2">'N121M-C182Q'!$O$21</definedName>
    <definedName name="Total_Arrival_Arm" localSheetId="5">'N1293F-C172N'!$N$22</definedName>
    <definedName name="Total_Arrival_Arm" localSheetId="6">'N13686-C172M '!$N$22</definedName>
    <definedName name="Total_Arrival_Arm" localSheetId="7">'N4464R-C172M'!$N$22</definedName>
    <definedName name="Total_Arrival_Arm" localSheetId="8">'N67375-C152 '!$N$20</definedName>
    <definedName name="Total_Arrival_Arm" localSheetId="4">'N9989E-C182P'!$O$21</definedName>
    <definedName name="Total_Arrival_Arm">'N7593S-C182Q'!$O$21</definedName>
    <definedName name="Total_Arrival_Moment" localSheetId="2">'N121M-C182Q'!$P$21</definedName>
    <definedName name="Total_Arrival_Moment" localSheetId="5">'N1293F-C172N'!$O$22</definedName>
    <definedName name="Total_Arrival_Moment" localSheetId="6">'N13686-C172M '!$O$22</definedName>
    <definedName name="Total_Arrival_Moment" localSheetId="7">'N4464R-C172M'!$O$22</definedName>
    <definedName name="Total_Arrival_Moment" localSheetId="8">'N67375-C152 '!$O$20</definedName>
    <definedName name="Total_Arrival_Moment" localSheetId="4">'N9989E-C182P'!$P$21</definedName>
    <definedName name="Total_Arrival_Moment">'N7593S-C182Q'!$P$21</definedName>
    <definedName name="Total_Arrival_Weight" localSheetId="2">'N121M-C182Q'!$N$21</definedName>
    <definedName name="Total_Arrival_Weight" localSheetId="5">'N1293F-C172N'!$M$22</definedName>
    <definedName name="Total_Arrival_Weight" localSheetId="6">'N13686-C172M '!$M$22</definedName>
    <definedName name="Total_Arrival_Weight" localSheetId="7">'N4464R-C172M'!$M$22</definedName>
    <definedName name="Total_Arrival_Weight" localSheetId="8">'N67375-C152 '!$M$20</definedName>
    <definedName name="Total_Arrival_Weight" localSheetId="4">'N9989E-C182P'!$N$21</definedName>
    <definedName name="Total_Arrival_Weight">'N7593S-C182Q'!$N$21</definedName>
    <definedName name="Total_Departure_Arm" localSheetId="2">'N121M-C182Q'!$G$22</definedName>
    <definedName name="Total_Departure_Arm" localSheetId="5">'N1293F-C172N'!$F$23</definedName>
    <definedName name="Total_Departure_Arm" localSheetId="6">'N13686-C172M '!$F$23</definedName>
    <definedName name="Total_Departure_Arm" localSheetId="7">'N4464R-C172M'!$F$23</definedName>
    <definedName name="Total_Departure_Arm" localSheetId="8">'N67375-C152 '!$F$21</definedName>
    <definedName name="Total_Departure_Arm" localSheetId="4">'N9989E-C182P'!$G$22</definedName>
    <definedName name="Total_Departure_Arm">'N7593S-C182Q'!$G$22</definedName>
    <definedName name="Total_Departure_Moment" localSheetId="2">'N121M-C182Q'!$H$22</definedName>
    <definedName name="Total_Departure_Moment" localSheetId="5">'N1293F-C172N'!$G$23</definedName>
    <definedName name="Total_Departure_Moment" localSheetId="6">'N13686-C172M '!$G$23</definedName>
    <definedName name="Total_Departure_Moment" localSheetId="7">'N4464R-C172M'!$G$23</definedName>
    <definedName name="Total_Departure_Moment" localSheetId="8">'N67375-C152 '!$G$21</definedName>
    <definedName name="Total_Departure_Moment" localSheetId="4">'N9989E-C182P'!$H$22</definedName>
    <definedName name="Total_Departure_Moment">'N7593S-C182Q'!$H$22</definedName>
    <definedName name="Total_Departure_Weight" localSheetId="2">'N121M-C182Q'!$E$22</definedName>
    <definedName name="Total_Departure_Weight" localSheetId="5">'N1293F-C172N'!$E$23</definedName>
    <definedName name="Total_Departure_Weight" localSheetId="6">'N13686-C172M '!$E$23</definedName>
    <definedName name="Total_Departure_Weight" localSheetId="7">'N4464R-C172M'!$E$23</definedName>
    <definedName name="Total_Departure_Weight" localSheetId="8">'N67375-C152 '!$E$21</definedName>
    <definedName name="Total_Departure_Weight" localSheetId="4">'N9989E-C182P'!$E$22</definedName>
    <definedName name="Total_Departure_Weight">'N7593S-C182Q'!$E$22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5" i="4" l="1"/>
  <c r="N15" i="4"/>
  <c r="E45" i="2"/>
  <c r="E27" i="2" s="1"/>
  <c r="E57" i="2" s="1"/>
  <c r="E28" i="2" s="1"/>
  <c r="E50" i="2"/>
  <c r="E51" i="2" s="1"/>
  <c r="D50" i="2"/>
  <c r="E59" i="2"/>
  <c r="H21" i="11"/>
  <c r="O20" i="11"/>
  <c r="D20" i="11"/>
  <c r="E20" i="11" s="1"/>
  <c r="O19" i="11"/>
  <c r="N19" i="11"/>
  <c r="H19" i="11"/>
  <c r="P19" i="11" s="1"/>
  <c r="O18" i="11"/>
  <c r="N18" i="11"/>
  <c r="H18" i="11"/>
  <c r="P18" i="11" s="1"/>
  <c r="O17" i="11"/>
  <c r="N17" i="11"/>
  <c r="H17" i="11"/>
  <c r="P17" i="11" s="1"/>
  <c r="O16" i="11"/>
  <c r="N16" i="11"/>
  <c r="H16" i="11"/>
  <c r="P15" i="11"/>
  <c r="N15" i="11"/>
  <c r="G15" i="11"/>
  <c r="O15" i="11" s="1"/>
  <c r="F7" i="11"/>
  <c r="F7" i="8"/>
  <c r="E29" i="2" l="1"/>
  <c r="E30" i="2"/>
  <c r="E32" i="2"/>
  <c r="E58" i="2"/>
  <c r="E52" i="2" s="1"/>
  <c r="E54" i="2" s="1"/>
  <c r="E26" i="2" s="1"/>
  <c r="E60" i="2"/>
  <c r="E22" i="11"/>
  <c r="H20" i="11"/>
  <c r="H22" i="11" s="1"/>
  <c r="F8" i="11"/>
  <c r="F9" i="11" s="1"/>
  <c r="P16" i="11"/>
  <c r="M20" i="11"/>
  <c r="N20" i="11" s="1"/>
  <c r="J50" i="2"/>
  <c r="J51" i="2" s="1"/>
  <c r="I50" i="2"/>
  <c r="I51" i="2" s="1"/>
  <c r="H50" i="2"/>
  <c r="H51" i="2" s="1"/>
  <c r="F50" i="2"/>
  <c r="F51" i="2" s="1"/>
  <c r="D51" i="2"/>
  <c r="G50" i="2"/>
  <c r="G51" i="2" s="1"/>
  <c r="M15" i="10"/>
  <c r="M16" i="10"/>
  <c r="M17" i="10"/>
  <c r="M18" i="10"/>
  <c r="M19" i="10"/>
  <c r="M20" i="10"/>
  <c r="D21" i="10"/>
  <c r="L21" i="10" s="1"/>
  <c r="M21" i="10" s="1"/>
  <c r="G40" i="2"/>
  <c r="G27" i="2"/>
  <c r="G57" i="2" s="1"/>
  <c r="G28" i="2" s="1"/>
  <c r="G58" i="2" s="1"/>
  <c r="G52" i="2" s="1"/>
  <c r="G59" i="2"/>
  <c r="G16" i="10"/>
  <c r="O16" i="10" s="1"/>
  <c r="G17" i="10"/>
  <c r="O17" i="10" s="1"/>
  <c r="G18" i="10"/>
  <c r="G19" i="10"/>
  <c r="O19" i="10" s="1"/>
  <c r="G20" i="10"/>
  <c r="O20" i="10" s="1"/>
  <c r="G22" i="10"/>
  <c r="O15" i="10"/>
  <c r="O18" i="10"/>
  <c r="N21" i="10"/>
  <c r="N20" i="10"/>
  <c r="AC19" i="10"/>
  <c r="N19" i="10"/>
  <c r="AC18" i="10"/>
  <c r="AB18" i="10"/>
  <c r="AC17" i="10"/>
  <c r="N17" i="10"/>
  <c r="AC16" i="10"/>
  <c r="N16" i="10"/>
  <c r="AC15" i="10"/>
  <c r="F15" i="10"/>
  <c r="N15" i="10" s="1"/>
  <c r="AC12" i="10"/>
  <c r="AC11" i="10"/>
  <c r="AC10" i="10"/>
  <c r="AC9" i="10"/>
  <c r="AC8" i="10"/>
  <c r="F7" i="10"/>
  <c r="F7" i="6"/>
  <c r="D21" i="6"/>
  <c r="AC8" i="6"/>
  <c r="AC9" i="6"/>
  <c r="AB10" i="6"/>
  <c r="AC10" i="6"/>
  <c r="AC11" i="6"/>
  <c r="AC12" i="6"/>
  <c r="F15" i="6"/>
  <c r="N15" i="6" s="1"/>
  <c r="M15" i="6"/>
  <c r="O15" i="6"/>
  <c r="AC15" i="6"/>
  <c r="G16" i="6"/>
  <c r="O16" i="6" s="1"/>
  <c r="M16" i="6"/>
  <c r="N16" i="6"/>
  <c r="AC16" i="6"/>
  <c r="G17" i="6"/>
  <c r="O17" i="6" s="1"/>
  <c r="M17" i="6"/>
  <c r="N17" i="6"/>
  <c r="AC17" i="6"/>
  <c r="G18" i="6"/>
  <c r="M18" i="6"/>
  <c r="O18" i="6" s="1"/>
  <c r="AB18" i="6"/>
  <c r="AC18" i="6"/>
  <c r="G19" i="6"/>
  <c r="O19" i="6" s="1"/>
  <c r="M19" i="6"/>
  <c r="N19" i="6"/>
  <c r="AC19" i="6"/>
  <c r="G20" i="6"/>
  <c r="O20" i="6" s="1"/>
  <c r="M20" i="6"/>
  <c r="N20" i="6"/>
  <c r="N21" i="6"/>
  <c r="F22" i="6"/>
  <c r="G22" i="6"/>
  <c r="F7" i="7"/>
  <c r="D21" i="7"/>
  <c r="E21" i="7" s="1"/>
  <c r="E23" i="7" s="1"/>
  <c r="AF8" i="7"/>
  <c r="AF9" i="7"/>
  <c r="AE10" i="7"/>
  <c r="AF10" i="7"/>
  <c r="AF11" i="7"/>
  <c r="AF12" i="7"/>
  <c r="F15" i="7"/>
  <c r="N15" i="7" s="1"/>
  <c r="M15" i="7"/>
  <c r="O15" i="7"/>
  <c r="AF15" i="7"/>
  <c r="G16" i="7"/>
  <c r="M16" i="7"/>
  <c r="N16" i="7"/>
  <c r="AF16" i="7"/>
  <c r="G17" i="7"/>
  <c r="O17" i="7" s="1"/>
  <c r="M17" i="7"/>
  <c r="N17" i="7"/>
  <c r="AF17" i="7"/>
  <c r="G18" i="7"/>
  <c r="M18" i="7"/>
  <c r="AE18" i="7"/>
  <c r="AF18" i="7"/>
  <c r="G19" i="7"/>
  <c r="O19" i="7" s="1"/>
  <c r="M19" i="7"/>
  <c r="N19" i="7"/>
  <c r="AF19" i="7"/>
  <c r="G20" i="7"/>
  <c r="O20" i="7" s="1"/>
  <c r="M20" i="7"/>
  <c r="N20" i="7"/>
  <c r="N21" i="7"/>
  <c r="F22" i="7"/>
  <c r="G22" i="7"/>
  <c r="D19" i="8"/>
  <c r="F8" i="8" s="1"/>
  <c r="F9" i="8" s="1"/>
  <c r="AC8" i="8"/>
  <c r="AC9" i="8"/>
  <c r="AB10" i="8"/>
  <c r="AC10" i="8"/>
  <c r="AC11" i="8"/>
  <c r="AC12" i="8"/>
  <c r="F15" i="8"/>
  <c r="N15" i="8" s="1"/>
  <c r="M15" i="8"/>
  <c r="O15" i="8"/>
  <c r="G16" i="8"/>
  <c r="O16" i="8" s="1"/>
  <c r="M16" i="8"/>
  <c r="N16" i="8"/>
  <c r="G17" i="8"/>
  <c r="O17" i="8" s="1"/>
  <c r="M17" i="8"/>
  <c r="N17" i="8"/>
  <c r="G18" i="8"/>
  <c r="O18" i="8" s="1"/>
  <c r="M18" i="8"/>
  <c r="N18" i="8"/>
  <c r="N19" i="8"/>
  <c r="G20" i="8"/>
  <c r="F7" i="3"/>
  <c r="D20" i="3"/>
  <c r="E20" i="3" s="1"/>
  <c r="G15" i="3"/>
  <c r="O15" i="3" s="1"/>
  <c r="N15" i="3"/>
  <c r="P15" i="3"/>
  <c r="H16" i="3"/>
  <c r="P16" i="3" s="1"/>
  <c r="N16" i="3"/>
  <c r="O16" i="3"/>
  <c r="H17" i="3"/>
  <c r="P17" i="3" s="1"/>
  <c r="N17" i="3"/>
  <c r="O17" i="3"/>
  <c r="H18" i="3"/>
  <c r="P18" i="3" s="1"/>
  <c r="N18" i="3"/>
  <c r="O18" i="3"/>
  <c r="H19" i="3"/>
  <c r="P19" i="3" s="1"/>
  <c r="N19" i="3"/>
  <c r="O19" i="3"/>
  <c r="O20" i="3"/>
  <c r="H21" i="3"/>
  <c r="F7" i="4"/>
  <c r="D20" i="4"/>
  <c r="M20" i="4" s="1"/>
  <c r="N20" i="4" s="1"/>
  <c r="G15" i="4"/>
  <c r="O15" i="4" s="1"/>
  <c r="H16" i="4"/>
  <c r="P16" i="4" s="1"/>
  <c r="N16" i="4"/>
  <c r="O16" i="4"/>
  <c r="H17" i="4"/>
  <c r="P17" i="4" s="1"/>
  <c r="N17" i="4"/>
  <c r="O17" i="4"/>
  <c r="H18" i="4"/>
  <c r="P18" i="4" s="1"/>
  <c r="N18" i="4"/>
  <c r="O18" i="4"/>
  <c r="H19" i="4"/>
  <c r="P19" i="4" s="1"/>
  <c r="N19" i="4"/>
  <c r="O19" i="4"/>
  <c r="O20" i="4"/>
  <c r="H21" i="4"/>
  <c r="D45" i="2"/>
  <c r="D27" i="2"/>
  <c r="D29" i="2" s="1"/>
  <c r="D59" i="2"/>
  <c r="F45" i="2"/>
  <c r="F27" i="2" s="1"/>
  <c r="F59" i="2"/>
  <c r="H45" i="2"/>
  <c r="H27" i="2" s="1"/>
  <c r="H29" i="2" s="1"/>
  <c r="H59" i="2"/>
  <c r="I45" i="2"/>
  <c r="I27" i="2" s="1"/>
  <c r="I30" i="2" s="1"/>
  <c r="I59" i="2"/>
  <c r="J45" i="2"/>
  <c r="J27" i="2" s="1"/>
  <c r="J29" i="2" s="1"/>
  <c r="J59" i="2"/>
  <c r="O18" i="7"/>
  <c r="N21" i="11" l="1"/>
  <c r="P20" i="11"/>
  <c r="P21" i="11" s="1"/>
  <c r="L47" i="11"/>
  <c r="M47" i="11" s="1"/>
  <c r="N47" i="11" s="1"/>
  <c r="O47" i="11" s="1"/>
  <c r="P47" i="11" s="1"/>
  <c r="E49" i="11"/>
  <c r="E46" i="11"/>
  <c r="G22" i="11"/>
  <c r="H23" i="11" s="1"/>
  <c r="M8" i="11"/>
  <c r="E50" i="11"/>
  <c r="E47" i="11"/>
  <c r="E48" i="11"/>
  <c r="L46" i="11"/>
  <c r="M46" i="11" s="1"/>
  <c r="N46" i="11" s="1"/>
  <c r="O46" i="11" s="1"/>
  <c r="P46" i="11" s="1"/>
  <c r="F8" i="10"/>
  <c r="F9" i="10" s="1"/>
  <c r="F29" i="2"/>
  <c r="F30" i="2"/>
  <c r="H60" i="2"/>
  <c r="G30" i="2"/>
  <c r="G29" i="2"/>
  <c r="G60" i="2"/>
  <c r="F60" i="2"/>
  <c r="I29" i="2"/>
  <c r="E21" i="6"/>
  <c r="G21" i="6" s="1"/>
  <c r="G23" i="6" s="1"/>
  <c r="F8" i="6"/>
  <c r="F9" i="6" s="1"/>
  <c r="F8" i="3"/>
  <c r="F9" i="3" s="1"/>
  <c r="E23" i="6"/>
  <c r="E48" i="6" s="1"/>
  <c r="H57" i="2"/>
  <c r="H28" i="2" s="1"/>
  <c r="H58" i="2" s="1"/>
  <c r="H52" i="2" s="1"/>
  <c r="H54" i="2" s="1"/>
  <c r="G54" i="2"/>
  <c r="I60" i="2"/>
  <c r="L21" i="7"/>
  <c r="M21" i="7" s="1"/>
  <c r="F8" i="7"/>
  <c r="F9" i="7" s="1"/>
  <c r="D60" i="2"/>
  <c r="D30" i="2"/>
  <c r="M20" i="3"/>
  <c r="N20" i="3" s="1"/>
  <c r="P20" i="3" s="1"/>
  <c r="P21" i="3" s="1"/>
  <c r="J60" i="2"/>
  <c r="F57" i="2"/>
  <c r="F28" i="2" s="1"/>
  <c r="F32" i="2" s="1"/>
  <c r="I57" i="2"/>
  <c r="I28" i="2" s="1"/>
  <c r="L21" i="6"/>
  <c r="M21" i="6" s="1"/>
  <c r="O21" i="6" s="1"/>
  <c r="O22" i="6" s="1"/>
  <c r="H20" i="3"/>
  <c r="H22" i="3" s="1"/>
  <c r="E22" i="3"/>
  <c r="M8" i="7"/>
  <c r="E48" i="7"/>
  <c r="E47" i="7"/>
  <c r="E51" i="7"/>
  <c r="K48" i="7"/>
  <c r="L48" i="7" s="1"/>
  <c r="M48" i="7" s="1"/>
  <c r="N48" i="7" s="1"/>
  <c r="O48" i="7" s="1"/>
  <c r="K47" i="7"/>
  <c r="L47" i="7" s="1"/>
  <c r="M47" i="7" s="1"/>
  <c r="N47" i="7" s="1"/>
  <c r="O47" i="7" s="1"/>
  <c r="E49" i="7"/>
  <c r="E50" i="7"/>
  <c r="O21" i="10"/>
  <c r="O22" i="10" s="1"/>
  <c r="M22" i="10"/>
  <c r="N21" i="4"/>
  <c r="P20" i="4"/>
  <c r="P21" i="4" s="1"/>
  <c r="O16" i="7"/>
  <c r="H30" i="2"/>
  <c r="D57" i="2"/>
  <c r="D28" i="2" s="1"/>
  <c r="G32" i="2"/>
  <c r="J57" i="2"/>
  <c r="J28" i="2" s="1"/>
  <c r="G21" i="7"/>
  <c r="G23" i="7" s="1"/>
  <c r="F23" i="7" s="1"/>
  <c r="G24" i="7" s="1"/>
  <c r="F8" i="4"/>
  <c r="F9" i="4" s="1"/>
  <c r="E20" i="4"/>
  <c r="L19" i="8"/>
  <c r="M19" i="8" s="1"/>
  <c r="M20" i="8" s="1"/>
  <c r="J30" i="2"/>
  <c r="E21" i="10"/>
  <c r="E19" i="8"/>
  <c r="G19" i="8" s="1"/>
  <c r="G21" i="8" s="1"/>
  <c r="H32" i="2" l="1"/>
  <c r="N8" i="11"/>
  <c r="M9" i="11"/>
  <c r="L50" i="11"/>
  <c r="M50" i="11" s="1"/>
  <c r="N50" i="11" s="1"/>
  <c r="O50" i="11" s="1"/>
  <c r="P50" i="11" s="1"/>
  <c r="F49" i="11"/>
  <c r="F46" i="11"/>
  <c r="O21" i="11"/>
  <c r="P22" i="11" s="1"/>
  <c r="F50" i="11"/>
  <c r="F47" i="11"/>
  <c r="F48" i="11"/>
  <c r="L49" i="11"/>
  <c r="M49" i="11" s="1"/>
  <c r="N49" i="11" s="1"/>
  <c r="O49" i="11" s="1"/>
  <c r="P49" i="11" s="1"/>
  <c r="G26" i="2"/>
  <c r="H26" i="2"/>
  <c r="M8" i="6"/>
  <c r="M9" i="6" s="1"/>
  <c r="E49" i="6"/>
  <c r="F23" i="6"/>
  <c r="G24" i="6" s="1"/>
  <c r="E47" i="6"/>
  <c r="E50" i="6"/>
  <c r="E51" i="6"/>
  <c r="K47" i="6"/>
  <c r="L47" i="6" s="1"/>
  <c r="M47" i="6" s="1"/>
  <c r="N47" i="6" s="1"/>
  <c r="O47" i="6" s="1"/>
  <c r="K48" i="6"/>
  <c r="L48" i="6" s="1"/>
  <c r="M48" i="6" s="1"/>
  <c r="N48" i="6" s="1"/>
  <c r="O48" i="6" s="1"/>
  <c r="O19" i="8"/>
  <c r="O20" i="8" s="1"/>
  <c r="N20" i="8" s="1"/>
  <c r="O21" i="8" s="1"/>
  <c r="N21" i="3"/>
  <c r="E21" i="8"/>
  <c r="K47" i="8" s="1"/>
  <c r="L47" i="8" s="1"/>
  <c r="M47" i="8" s="1"/>
  <c r="N47" i="8" s="1"/>
  <c r="O47" i="8" s="1"/>
  <c r="I58" i="2"/>
  <c r="I52" i="2" s="1"/>
  <c r="I54" i="2" s="1"/>
  <c r="I26" i="2" s="1"/>
  <c r="I32" i="2"/>
  <c r="F58" i="2"/>
  <c r="F52" i="2" s="1"/>
  <c r="F54" i="2" s="1"/>
  <c r="F26" i="2" s="1"/>
  <c r="M22" i="6"/>
  <c r="M22" i="7"/>
  <c r="O21" i="7"/>
  <c r="O22" i="7" s="1"/>
  <c r="G22" i="3"/>
  <c r="H23" i="3" s="1"/>
  <c r="E48" i="3"/>
  <c r="L47" i="3"/>
  <c r="M47" i="3" s="1"/>
  <c r="N47" i="3" s="1"/>
  <c r="O47" i="3" s="1"/>
  <c r="P47" i="3" s="1"/>
  <c r="L46" i="3"/>
  <c r="M46" i="3" s="1"/>
  <c r="N46" i="3" s="1"/>
  <c r="O46" i="3" s="1"/>
  <c r="P46" i="3" s="1"/>
  <c r="M8" i="3"/>
  <c r="E49" i="3"/>
  <c r="E50" i="3"/>
  <c r="E46" i="3"/>
  <c r="E47" i="3"/>
  <c r="E23" i="10"/>
  <c r="G21" i="10"/>
  <c r="G23" i="10" s="1"/>
  <c r="D58" i="2"/>
  <c r="D52" i="2" s="1"/>
  <c r="D54" i="2" s="1"/>
  <c r="D26" i="2" s="1"/>
  <c r="D32" i="2"/>
  <c r="N22" i="10"/>
  <c r="O23" i="10" s="1"/>
  <c r="F47" i="10"/>
  <c r="F51" i="10"/>
  <c r="F48" i="10"/>
  <c r="K50" i="10"/>
  <c r="L50" i="10" s="1"/>
  <c r="M50" i="10" s="1"/>
  <c r="N50" i="10" s="1"/>
  <c r="O50" i="10" s="1"/>
  <c r="F50" i="10"/>
  <c r="F49" i="10"/>
  <c r="K51" i="10"/>
  <c r="L51" i="10" s="1"/>
  <c r="M51" i="10" s="1"/>
  <c r="N51" i="10" s="1"/>
  <c r="O51" i="10" s="1"/>
  <c r="M9" i="7"/>
  <c r="N8" i="7"/>
  <c r="H20" i="4"/>
  <c r="H22" i="4" s="1"/>
  <c r="E22" i="4"/>
  <c r="J58" i="2"/>
  <c r="J52" i="2" s="1"/>
  <c r="J54" i="2" s="1"/>
  <c r="J26" i="2" s="1"/>
  <c r="J32" i="2"/>
  <c r="L50" i="4"/>
  <c r="M50" i="4" s="1"/>
  <c r="N50" i="4" s="1"/>
  <c r="O50" i="4" s="1"/>
  <c r="P50" i="4" s="1"/>
  <c r="L49" i="4"/>
  <c r="M49" i="4" s="1"/>
  <c r="N49" i="4" s="1"/>
  <c r="O49" i="4" s="1"/>
  <c r="P49" i="4" s="1"/>
  <c r="O21" i="4"/>
  <c r="P22" i="4" s="1"/>
  <c r="F47" i="4"/>
  <c r="F50" i="4"/>
  <c r="F48" i="4"/>
  <c r="F46" i="4"/>
  <c r="F49" i="4"/>
  <c r="F51" i="8"/>
  <c r="F50" i="8"/>
  <c r="K51" i="8"/>
  <c r="L51" i="8" s="1"/>
  <c r="M51" i="8" s="1"/>
  <c r="N51" i="8" s="1"/>
  <c r="O51" i="8" s="1"/>
  <c r="K50" i="8"/>
  <c r="L50" i="8" s="1"/>
  <c r="M50" i="8" s="1"/>
  <c r="N50" i="8" s="1"/>
  <c r="O50" i="8" s="1"/>
  <c r="F47" i="8"/>
  <c r="F49" i="8"/>
  <c r="F48" i="8"/>
  <c r="N8" i="6" l="1"/>
  <c r="E51" i="8"/>
  <c r="E49" i="8"/>
  <c r="M8" i="8"/>
  <c r="M9" i="8" s="1"/>
  <c r="E47" i="8"/>
  <c r="E50" i="8"/>
  <c r="F21" i="8"/>
  <c r="G22" i="8" s="1"/>
  <c r="K48" i="8"/>
  <c r="L48" i="8" s="1"/>
  <c r="M48" i="8" s="1"/>
  <c r="N48" i="8" s="1"/>
  <c r="O48" i="8" s="1"/>
  <c r="E48" i="8"/>
  <c r="N22" i="6"/>
  <c r="O23" i="6" s="1"/>
  <c r="K50" i="6"/>
  <c r="L50" i="6" s="1"/>
  <c r="M50" i="6" s="1"/>
  <c r="N50" i="6" s="1"/>
  <c r="O50" i="6" s="1"/>
  <c r="F51" i="6"/>
  <c r="F48" i="6"/>
  <c r="F50" i="6"/>
  <c r="F49" i="6"/>
  <c r="F47" i="6"/>
  <c r="K51" i="6"/>
  <c r="L51" i="6" s="1"/>
  <c r="M51" i="6" s="1"/>
  <c r="N51" i="6" s="1"/>
  <c r="O51" i="6" s="1"/>
  <c r="L50" i="3"/>
  <c r="M50" i="3" s="1"/>
  <c r="N50" i="3" s="1"/>
  <c r="O50" i="3" s="1"/>
  <c r="P50" i="3" s="1"/>
  <c r="F48" i="3"/>
  <c r="L49" i="3"/>
  <c r="M49" i="3" s="1"/>
  <c r="N49" i="3" s="1"/>
  <c r="O49" i="3" s="1"/>
  <c r="P49" i="3" s="1"/>
  <c r="F49" i="3"/>
  <c r="F50" i="3"/>
  <c r="F46" i="3"/>
  <c r="F47" i="3"/>
  <c r="F47" i="7"/>
  <c r="K51" i="7"/>
  <c r="L51" i="7" s="1"/>
  <c r="M51" i="7" s="1"/>
  <c r="N51" i="7" s="1"/>
  <c r="O51" i="7" s="1"/>
  <c r="F51" i="7"/>
  <c r="N22" i="7"/>
  <c r="O23" i="7" s="1"/>
  <c r="F48" i="7"/>
  <c r="K50" i="7"/>
  <c r="L50" i="7" s="1"/>
  <c r="M50" i="7" s="1"/>
  <c r="N50" i="7" s="1"/>
  <c r="O50" i="7" s="1"/>
  <c r="F50" i="7"/>
  <c r="F49" i="7"/>
  <c r="O21" i="3"/>
  <c r="P22" i="3" s="1"/>
  <c r="K48" i="10"/>
  <c r="L48" i="10" s="1"/>
  <c r="M48" i="10" s="1"/>
  <c r="N48" i="10" s="1"/>
  <c r="O48" i="10" s="1"/>
  <c r="E49" i="10"/>
  <c r="E51" i="10"/>
  <c r="E50" i="10"/>
  <c r="E47" i="10"/>
  <c r="K47" i="10"/>
  <c r="L47" i="10" s="1"/>
  <c r="M47" i="10" s="1"/>
  <c r="N47" i="10" s="1"/>
  <c r="O47" i="10" s="1"/>
  <c r="F23" i="10"/>
  <c r="G24" i="10" s="1"/>
  <c r="E48" i="10"/>
  <c r="M8" i="10"/>
  <c r="G22" i="4"/>
  <c r="H23" i="4" s="1"/>
  <c r="E50" i="4"/>
  <c r="E49" i="4"/>
  <c r="E46" i="4"/>
  <c r="M8" i="4"/>
  <c r="L47" i="4"/>
  <c r="M47" i="4" s="1"/>
  <c r="N47" i="4" s="1"/>
  <c r="O47" i="4" s="1"/>
  <c r="P47" i="4" s="1"/>
  <c r="L46" i="4"/>
  <c r="M46" i="4" s="1"/>
  <c r="N46" i="4" s="1"/>
  <c r="O46" i="4" s="1"/>
  <c r="P46" i="4" s="1"/>
  <c r="E47" i="4"/>
  <c r="E48" i="4"/>
  <c r="N8" i="3"/>
  <c r="M9" i="3"/>
  <c r="N8" i="8" l="1"/>
  <c r="N8" i="4"/>
  <c r="M9" i="4"/>
  <c r="N8" i="10"/>
  <c r="M9" i="10"/>
</calcChain>
</file>

<file path=xl/sharedStrings.xml><?xml version="1.0" encoding="utf-8"?>
<sst xmlns="http://schemas.openxmlformats.org/spreadsheetml/2006/main" count="757" uniqueCount="250">
  <si>
    <t>Check Out the New Trip Planer - give you a fairly accurate of time, cost, and usefull load carrying capacity on all of our birds.</t>
  </si>
  <si>
    <t>DISCLAIMER</t>
  </si>
  <si>
    <t>The Author, Jim Hudson, makes no guarantees or warranties as to the accuracy of the results, and reminds users that the pilot in command (PIC) of the airplane has the full responsibility for ensuring that he or she has all of the information about the flight and that the information is as accurate as possible. In some cases the computed results on the Weight,  Balance and fuel burn are approximations and/or may be outdated, and PIC is responsible that the data is current. The results from the program have been validated at the time of release, and to the best of the Author’s knowledge are accurate enough for use in flight planning. If there are any errors discovered, please inform the Author.  
Ultimately the PIC is responsible for the results and interpretation of the data.</t>
  </si>
  <si>
    <t>INSTRUCTIONS:</t>
  </si>
  <si>
    <t>Choose the appropriate plane, click on the tab at the bottom of the sheet.</t>
  </si>
  <si>
    <t>Data Entry</t>
  </si>
  <si>
    <t xml:space="preserve">Enter Passenger weight and baggage in appropriate data entry box hi-lighted in yellow..  Enter weights for front and rear seats and baggage area.  Enter fuel quantity and oil quantity for departure.  After looking at the departure fuel, enter estimated fuel at your destination to see if you will be within limits for the duration of the trip.
</t>
  </si>
  <si>
    <t>Results</t>
  </si>
  <si>
    <r>
      <t xml:space="preserve">View the results in the green hi-lighted box. You will find </t>
    </r>
    <r>
      <rPr>
        <u/>
        <sz val="10"/>
        <rFont val="Courier New"/>
        <family val="3"/>
      </rPr>
      <t>Total Weight</t>
    </r>
    <r>
      <rPr>
        <sz val="10"/>
        <rFont val="Courier New"/>
        <family val="3"/>
      </rPr>
      <t>,</t>
    </r>
    <r>
      <rPr>
        <u/>
        <sz val="10"/>
        <rFont val="Courier New"/>
        <family val="3"/>
      </rPr>
      <t xml:space="preserve"> CG</t>
    </r>
    <r>
      <rPr>
        <sz val="10"/>
        <rFont val="Courier New"/>
        <family val="3"/>
      </rPr>
      <t xml:space="preserve">., and </t>
    </r>
    <r>
      <rPr>
        <u/>
        <sz val="10"/>
        <rFont val="Courier New"/>
        <family val="3"/>
      </rPr>
      <t>Total Moment</t>
    </r>
    <r>
      <rPr>
        <sz val="10"/>
        <rFont val="Courier New"/>
        <family val="3"/>
      </rPr>
      <t>.  In addition you can see if you are over</t>
    </r>
    <r>
      <rPr>
        <b/>
        <sz val="10"/>
        <rFont val="Courier New"/>
        <family val="3"/>
      </rPr>
      <t xml:space="preserve"> </t>
    </r>
    <r>
      <rPr>
        <b/>
        <sz val="10"/>
        <color indexed="10"/>
        <rFont val="Courier New"/>
        <family val="3"/>
      </rPr>
      <t>(in red)</t>
    </r>
    <r>
      <rPr>
        <sz val="10"/>
        <rFont val="Courier New"/>
        <family val="3"/>
      </rPr>
      <t xml:space="preserve"> or under gross weight.  
Flight time is also calculated with </t>
    </r>
    <r>
      <rPr>
        <b/>
        <sz val="10"/>
        <color indexed="10"/>
        <rFont val="Courier New"/>
        <family val="3"/>
      </rPr>
      <t>NO RESERVE</t>
    </r>
    <r>
      <rPr>
        <sz val="10"/>
        <rFont val="Courier New"/>
        <family val="3"/>
      </rPr>
      <t xml:space="preserve"> from the POH data at 75% power at 7500' or 8,000''.
</t>
    </r>
    <r>
      <rPr>
        <b/>
        <sz val="10"/>
        <rFont val="Courier New"/>
        <family val="3"/>
      </rPr>
      <t xml:space="preserve">WEIGHT
</t>
    </r>
    <r>
      <rPr>
        <sz val="10"/>
        <rFont val="Courier New"/>
        <family val="3"/>
      </rPr>
      <t xml:space="preserve">If you are </t>
    </r>
    <r>
      <rPr>
        <b/>
        <sz val="10"/>
        <color indexed="10"/>
        <rFont val="Courier New"/>
        <family val="3"/>
      </rPr>
      <t xml:space="preserve">OVERWEIGHT </t>
    </r>
    <r>
      <rPr>
        <sz val="10"/>
        <rFont val="Courier New"/>
        <family val="3"/>
      </rPr>
      <t xml:space="preserve">- you have a problem - go on a diet, but that may take a while, so reduce your fuel, baggage or get rid of a passenger.  Also consider at high density altitude it is smart not to be at gross weight anyway. 
</t>
    </r>
    <r>
      <rPr>
        <b/>
        <sz val="10"/>
        <rFont val="Courier New"/>
        <family val="3"/>
      </rPr>
      <t xml:space="preserve">
BALANCE</t>
    </r>
    <r>
      <rPr>
        <sz val="10"/>
        <rFont val="Courier New"/>
        <family val="3"/>
      </rPr>
      <t xml:space="preserve"> 
Look at the CG loading chart and the CG and Moment limits to see if you are within CG limits.  If not, shift weight or reduce weight to be within limits.  Too aft CG you may go into a non-recoverable stall if you stall or the engine fails.  Being too forward CG may plant the nose into the dirt while attempting to land or take-off. </t>
    </r>
  </si>
  <si>
    <t xml:space="preserve">APPLICATIONS:  </t>
  </si>
  <si>
    <t xml:space="preserve">The primary application is to quickly determine proper weight and balance, and weight shift to stay within limits for departure and final destination situations.  
You can look at fuel quantity and weight trade-off to carry more baggage or passengers and see the trade off in flight duration and fuel stops necessary.  Remember these are estimated from POH values and require proper leaning and operating conditions.  I have found the fuel burn to accurate, but use at your own risk.
</t>
  </si>
  <si>
    <t>Revisions:</t>
  </si>
  <si>
    <t>Last Update of W&amp;B data 9/20/06 - added 7593S and updated all other aircraft data.</t>
  </si>
  <si>
    <t>Changed 91X format sheet.</t>
  </si>
  <si>
    <t>Format changes on 91x and 93S pages</t>
  </si>
  <si>
    <t>Updated all Wt &amp; Balance Data for all aircraft and new format for all birds and added Trip Planner</t>
  </si>
  <si>
    <t>Modified Trip Planner to add derateing factor for TAS to make calulation more realistic.</t>
  </si>
  <si>
    <t>Upated increased fuel costs</t>
  </si>
  <si>
    <t>Corrected Max Useable Fuel in each birds W&amp;B Table. And updated rental rates</t>
  </si>
  <si>
    <t xml:space="preserve">Found a few errors on useable fuel in 64L and trip planner.  </t>
  </si>
  <si>
    <t>Added 64R with new wt &amp; bal and performance/fuel burn with 160HP engine,Deleted 64L</t>
  </si>
  <si>
    <t>Updated 686 with new wt &amp; bal and performance/fuel burn with 160HP engine</t>
  </si>
  <si>
    <t>Updated 686 with new wt &amp; bal - with wheel pants on</t>
  </si>
  <si>
    <t>Fuel Increase added to trip planner</t>
  </si>
  <si>
    <t>Fuel decrease for trip planner and updated Empty Wt &amp; Bal on 64R.</t>
  </si>
  <si>
    <t>Corrected Error on 0YD</t>
  </si>
  <si>
    <t>Added Tables for Va, Vx, Vy, Vso Vs1 as they change with gross weight.  Also added Vx Vy as changed by altitude.  Vx + 0.5 MPH/1000'  or + 0.434 NM/1000' Vy - 0.6 MPH/1000'  or - .521 NM/1000'</t>
  </si>
  <si>
    <t>Corrected a calculation error on 93S. Front Pax data was used for rear Pax ARM calculation.</t>
  </si>
  <si>
    <t>Updated 93S W&amp;B - found more current data sheet.</t>
  </si>
  <si>
    <t>Updated 686 &amp; 64R fuel burn rated, reduced to 8 for 2500 RPM restriction, updated 686 wt data after removal of fuel pants.  Verified all birds wt/moments</t>
  </si>
  <si>
    <t>Updated hourly rates and tax savings</t>
  </si>
  <si>
    <t>Corrected some airspeeds, Va, Vso, Vs1, V SF take-off in some of the birds</t>
  </si>
  <si>
    <t>Updated hourly rates and tax savings - Updated C152 W&amp;B data with new starter</t>
  </si>
  <si>
    <t>Corrected Stall speeds  and SF landing speed on C172's</t>
  </si>
  <si>
    <t>Added N9989E C1820P, removed 0YD, updated trip planner accordingly.  Updated W&amp;B for 64R with new radio</t>
  </si>
  <si>
    <t>Updated all Wt &amp; Balance Data for all aircraft for equipment updates, new ELT's in 9/2011 and new radio's.</t>
  </si>
  <si>
    <t>Updated new rates on trip planner.</t>
  </si>
  <si>
    <t>Updated Wt and Bal Data for 375 to reflect avionics changes.  All verified to be up to date.</t>
  </si>
  <si>
    <t>Updated 91X rate from 121.00 to 125.00 based on august board meeting minutes, ber</t>
  </si>
  <si>
    <t xml:space="preserve">Corrected Max and Useable Fuel for all C182's.  All tanks the same 40 gal max/ 37 useable each tank.  Updated Trip Planner and each C182.  Corrected fuel arm in C152, was the same as C172 which was wrong. Checked all others, 89E was same as 93S, but should be the same as 91X.  </t>
  </si>
  <si>
    <t>Updated Hourly rates - 375 increased from 61 to 62.</t>
  </si>
  <si>
    <t>Updated Hourly rates - lowered,375 $61,64R $83,686 $85, 91X $123, 89E&amp;93S $126.  Updated 375 W&amp;B for new Elec Mag.</t>
  </si>
  <si>
    <t>Added the Champ to the spreadsheet</t>
  </si>
  <si>
    <t>Updated Hourly rates.</t>
  </si>
  <si>
    <t>Removed Champ and Added N1293F 172N</t>
  </si>
  <si>
    <t>Fixed V speeds tables N1293F correcting for 2550 GW</t>
  </si>
  <si>
    <t>Updated W&amp;B for all except 91x and 686</t>
  </si>
  <si>
    <t>Updated 686 with new wt &amp; bal</t>
  </si>
  <si>
    <t>Udpated 91X and 93F Wt &amp; Bal and trip planner with current rental rates.</t>
  </si>
  <si>
    <t>Updated 89E W&amp;B data, corrected Vs1, Vso error for 89E.  Corrected SF IAS on 686/64R was 65, POH states 70 mph</t>
  </si>
  <si>
    <t>Updated hourly rates in trip planer.</t>
  </si>
  <si>
    <t>Removed 91X, Updated 93S, 89E, 64R W&amp;B Data</t>
  </si>
  <si>
    <t>Added N121M, Updated 64R and 93F</t>
  </si>
  <si>
    <t>Updated N121M W&amp;B Data</t>
  </si>
  <si>
    <t>Updated 21M, 375, and 93F W&amp;B and Trip Planner Page with current rates and added N121M</t>
  </si>
  <si>
    <t>Updated 375 W&amp;B data - new LED strobes.  Updated Trip Planner with current rates.</t>
  </si>
  <si>
    <t>Updated W&amp;B data for 121M - new avionics</t>
  </si>
  <si>
    <t>Updated W&amp;B data for 93S- new avionics</t>
  </si>
  <si>
    <t>Updated W&amp;B data for 89E- new avionics</t>
  </si>
  <si>
    <t>Updated W&amp;B data for 93F- new avionics</t>
  </si>
  <si>
    <t>Updated 686 &amp; 64R W&amp;B data- new avionics</t>
  </si>
  <si>
    <t>Updated W&amp;B data for 93F - new Autopilot</t>
  </si>
  <si>
    <t>Updated W&amp;B data for 89E - Robertson STOL Kit</t>
  </si>
  <si>
    <t>Trip Planner - T-Craft Aircraft Comparison</t>
  </si>
  <si>
    <t>Note: Fuel Rates may not be up to date.</t>
  </si>
  <si>
    <r>
      <t xml:space="preserve">This table can be used to give some results / tradeoff's in choosing a plane for your trip.  This is not a substitute for proper flight planning, determining fuel requirements, and weight and balance calculations.   However, it can be used for some interesting comparisons and trade-offs.  
How to use:  Enter Data in Yelow Boxes, the green hilighted boxes are the resulting calculations and cannot be changed.
</t>
    </r>
    <r>
      <rPr>
        <u/>
        <sz val="10"/>
        <color indexed="12"/>
        <rFont val="Arial"/>
        <family val="2"/>
      </rPr>
      <t>Enter the distance of your trip, and fuel reserve you desire (1 hr is the default) and your weight and bagage.</t>
    </r>
    <r>
      <rPr>
        <sz val="10"/>
        <rFont val="Arial"/>
        <family val="2"/>
      </rPr>
      <t xml:space="preserve">  The calculator will determine your trip time (no wind conditions) the amount of fuel required, how much payload you can take, and the rental cost of each plane.  It will also indicate if a fuel stop is required if not enough fuel capacity for the distance.  If a fuel stop is required for a given plane, you will have to add some extra time and cost to make the fuel stop. (run two or more calculations).  If the Payload is less than you need, you will have to reduce the distance (reducing the fuel weight) for a fuel stop.
Other Variables:  You can change the run-up-taxi fuel requirements, performance numbers for your own parameters (different altitude and power setting).  However, these numbers are representative of most operating conditions and good for comparison purposes.  
There also is a derating factor applied to the TAS, which is currently set to 90% to allow for some inefficiencies and give more realistic times.
This derating also takes into consideration engine and prop ageing from "New" condition.  It also takes into some consideration climb time and
other time while not at "cruse" speed
</t>
    </r>
  </si>
  <si>
    <t xml:space="preserve">Assumptions: Leaning is done properly. Fuel burn and true airspeed are from POH tables at 7,500' or 8,000' depending on the respective airplanes POH and operating near maximum power as listed below in the performance table.  One can choose to operate at a more efficient power setting resulting in less fuel burn and respective TAS.  These are no wind calculations.  </t>
  </si>
  <si>
    <t>Estimated Distance of Trip NM</t>
  </si>
  <si>
    <t>C182Q</t>
  </si>
  <si>
    <t>C182P</t>
  </si>
  <si>
    <t>C172N</t>
  </si>
  <si>
    <t>C172M</t>
  </si>
  <si>
    <t>C152</t>
  </si>
  <si>
    <t>Reserve (Hours)</t>
  </si>
  <si>
    <t>N7593S</t>
  </si>
  <si>
    <t>N121M</t>
  </si>
  <si>
    <t>N9989E</t>
  </si>
  <si>
    <t>N1293F</t>
  </si>
  <si>
    <t>N13686</t>
  </si>
  <si>
    <t>N4464R</t>
  </si>
  <si>
    <t>N67375</t>
  </si>
  <si>
    <t>Payload-Pax &amp; Bagage   Pilot &amp; Bagage--&gt;</t>
  </si>
  <si>
    <t>Trip Time - Hrs. (includes 0.3 hrs taxi-run-up)</t>
  </si>
  <si>
    <t>Fuel Level Required "Sticked Level"</t>
  </si>
  <si>
    <t>Estimated Cost - including tax</t>
  </si>
  <si>
    <t>Fuel Burned</t>
  </si>
  <si>
    <t>Max Fuel Capacity (Useable)</t>
  </si>
  <si>
    <t>Fuel Reserve - Gallons</t>
  </si>
  <si>
    <t>ForeFlight Projections - 9500'</t>
  </si>
  <si>
    <t>Trip Time - Hrs.</t>
  </si>
  <si>
    <t>Rates as of 4/15/2023</t>
  </si>
  <si>
    <t>Run-up Taxi Fuel - Gal</t>
  </si>
  <si>
    <t>Performance Data - Out of respective POH</t>
  </si>
  <si>
    <t>Altitude - Std Temp, Pressure, proper leaning</t>
  </si>
  <si>
    <t>7500'</t>
  </si>
  <si>
    <t>8,000'</t>
  </si>
  <si>
    <t>Power % BHP</t>
  </si>
  <si>
    <t>RPM</t>
  </si>
  <si>
    <t>M.P.</t>
  </si>
  <si>
    <t>21"</t>
  </si>
  <si>
    <t>N/A</t>
  </si>
  <si>
    <t>TAS KTS                         (Derating factor)</t>
  </si>
  <si>
    <t>Fuel Burn - Gal/Hr</t>
  </si>
  <si>
    <t>Weight Data</t>
  </si>
  <si>
    <t>Max Weight</t>
  </si>
  <si>
    <t>Empty Weight</t>
  </si>
  <si>
    <t>Useful Load</t>
  </si>
  <si>
    <t>Fuel Wt - Departing</t>
  </si>
  <si>
    <t>Oil (Zero if in empty weight)</t>
  </si>
  <si>
    <t xml:space="preserve">Trip Payload </t>
  </si>
  <si>
    <t>Used in Calculations</t>
  </si>
  <si>
    <t>Hrs Fuel Required with reserve</t>
  </si>
  <si>
    <t>Useable Fuel Departing - Gal</t>
  </si>
  <si>
    <t>Fuel Weight (Useable) at Full Tanks</t>
  </si>
  <si>
    <t>Pax and Baggage with Full Tanks</t>
  </si>
  <si>
    <t>Contact Jim Hudson for errors, omissions or comments.</t>
  </si>
  <si>
    <t>Basic Information</t>
  </si>
  <si>
    <t>From aircraft's Wt. &amp; Bal Datasheet</t>
  </si>
  <si>
    <t>Aircraft Ident:</t>
  </si>
  <si>
    <t xml:space="preserve">Aircraft Type: </t>
  </si>
  <si>
    <t>C-182Q</t>
  </si>
  <si>
    <t>Departure Date:</t>
  </si>
  <si>
    <t>Departure Time:</t>
  </si>
  <si>
    <t>Arrival Time</t>
  </si>
  <si>
    <t>Aircraft W&amp;B Datasheet: 04/03/2024</t>
  </si>
  <si>
    <t>Aircraft Info:</t>
  </si>
  <si>
    <t>Fuel - 75 Gallons MAX Useable</t>
  </si>
  <si>
    <t>N Number : N121M</t>
  </si>
  <si>
    <t>C-182Q Weight and Balance Envelope (Normal)</t>
  </si>
  <si>
    <t>Planned Trip Time</t>
  </si>
  <si>
    <t>Hrs.</t>
  </si>
  <si>
    <t>Enter data in highlighted blocks</t>
  </si>
  <si>
    <t>Serial Number: 18265624</t>
  </si>
  <si>
    <t>Moment Env</t>
  </si>
  <si>
    <t>CG Envelope</t>
  </si>
  <si>
    <t>Payload (Pax &amp; Baggage)</t>
  </si>
  <si>
    <t>Max Gross Weight</t>
  </si>
  <si>
    <t>Model/Year: 182Q / 1977</t>
  </si>
  <si>
    <t>Moment</t>
  </si>
  <si>
    <t>Weight</t>
  </si>
  <si>
    <t>CG Locn</t>
  </si>
  <si>
    <r>
      <t>* Range @ 74% Pwr</t>
    </r>
    <r>
      <rPr>
        <sz val="9"/>
        <rFont val="Arial"/>
        <family val="2"/>
      </rPr>
      <t xml:space="preserve"> =12.7 GPH</t>
    </r>
  </si>
  <si>
    <t>Take-Off Weight</t>
  </si>
  <si>
    <t>of Gross</t>
  </si>
  <si>
    <t>Engine: Continental 0-470 U Series/230 HP@2400 RPM</t>
  </si>
  <si>
    <t>Fuel Reserve Time</t>
  </si>
  <si>
    <t>Over/Under weight</t>
  </si>
  <si>
    <t>* Range based on POH Fuel Burn @ 74% power, 8,000' Std Conditions - may be more or less depending on leaning, DA, other factors.</t>
  </si>
  <si>
    <t>Weight and Balance at Departure</t>
  </si>
  <si>
    <t>Weight and Balance at Arrival</t>
  </si>
  <si>
    <t>Data entry boxes - all other's are protected</t>
  </si>
  <si>
    <t>Loads</t>
  </si>
  <si>
    <t>Arm</t>
  </si>
  <si>
    <t>(Pounds)</t>
  </si>
  <si>
    <t>(Inches)</t>
  </si>
  <si>
    <t>/1000</t>
  </si>
  <si>
    <t xml:space="preserve">Empty Aircraft:  </t>
  </si>
  <si>
    <t xml:space="preserve">Front Passengers:  </t>
  </si>
  <si>
    <t xml:space="preserve">Rear Passengers:  </t>
  </si>
  <si>
    <t xml:space="preserve">Area 1 Baggage 120# Max:  </t>
  </si>
  <si>
    <t xml:space="preserve">Baggage (Area 1):  </t>
  </si>
  <si>
    <t xml:space="preserve">Area 2 Baggage 80# Max:  </t>
  </si>
  <si>
    <t xml:space="preserve">Baggage (Area 2):  </t>
  </si>
  <si>
    <t xml:space="preserve">Departing Fuel :  </t>
  </si>
  <si>
    <t>Arrival Fuel (Gal)</t>
  </si>
  <si>
    <t xml:space="preserve">Grnd Ops (Gal):  </t>
  </si>
  <si>
    <t xml:space="preserve">Totals:  </t>
  </si>
  <si>
    <t xml:space="preserve">CG = Total Moment / Total Weight:  </t>
  </si>
  <si>
    <t>At Take Off Weight</t>
  </si>
  <si>
    <t xml:space="preserve"> At Gross Wt</t>
  </si>
  <si>
    <t xml:space="preserve">  At Take Off Wt</t>
  </si>
  <si>
    <t>At Land Wt.</t>
  </si>
  <si>
    <t>Sea @ GW</t>
  </si>
  <si>
    <t>Sea</t>
  </si>
  <si>
    <t>Va</t>
  </si>
  <si>
    <t>Vx</t>
  </si>
  <si>
    <t>V BG</t>
  </si>
  <si>
    <t>Vy</t>
  </si>
  <si>
    <t>V S0</t>
  </si>
  <si>
    <t>At Landing Weight</t>
  </si>
  <si>
    <t>VS1</t>
  </si>
  <si>
    <t>SF Lnd @ 40 Deg Flaps</t>
  </si>
  <si>
    <t>Aircraft W&amp;B Datasheet: 5/9/2024</t>
  </si>
  <si>
    <t>N Number : N7593S</t>
  </si>
  <si>
    <t>Serial Number:18265242</t>
  </si>
  <si>
    <t>Model/Year: 182Q / 1976</t>
  </si>
  <si>
    <t>Engine: Continental 0-470 Series/230 HP@2400 RPM</t>
  </si>
  <si>
    <t>C-182P</t>
  </si>
  <si>
    <t>Aircraft W&amp;B Datasheet: 2/27/2025</t>
  </si>
  <si>
    <t>N Number : N8898E</t>
  </si>
  <si>
    <t>C-182P Weight and Balance Envelope (Normal)</t>
  </si>
  <si>
    <t xml:space="preserve">Serial Number:18264049 </t>
  </si>
  <si>
    <t>Model/Year: 182P / 1975</t>
  </si>
  <si>
    <r>
      <t>* Range @ 71% Pwr</t>
    </r>
    <r>
      <rPr>
        <sz val="9"/>
        <rFont val="Arial"/>
        <family val="2"/>
      </rPr>
      <t xml:space="preserve"> =13.1 GPH</t>
    </r>
  </si>
  <si>
    <t>Engine: Continental 0-470 Series/230 HP@2600 RPM</t>
  </si>
  <si>
    <t>* Range based on POH Fuel Burn @ 71% power, 7,500' Std Conditions - may be more or less depending on leaning, DA, other factors.</t>
  </si>
  <si>
    <t>MPH</t>
  </si>
  <si>
    <t>Sea@GW</t>
  </si>
  <si>
    <t>C-172N</t>
  </si>
  <si>
    <t xml:space="preserve">Weight and Balance Info is taken from each aircraft's Wt. &amp; Balance </t>
  </si>
  <si>
    <t>Fuel 40 Gallons MAX Useable</t>
  </si>
  <si>
    <t>W&amp;B Data last update for N1293F:  1/25/25</t>
  </si>
  <si>
    <t>C172M   Weight and Balance Envelope (Normal)</t>
  </si>
  <si>
    <t>N Number : N1293F</t>
  </si>
  <si>
    <r>
      <t>* Range @ 76% Pwr</t>
    </r>
    <r>
      <rPr>
        <sz val="9"/>
        <rFont val="Arial"/>
        <family val="2"/>
      </rPr>
      <t xml:space="preserve"> =10.1 GPH</t>
    </r>
  </si>
  <si>
    <t>Serial Number:172272987</t>
  </si>
  <si>
    <t>Model/Year: 172N / 1979</t>
  </si>
  <si>
    <t>* Range based on STC Fuel Burn @ 76% power, 8,000' Std Conditions - may be more or less depending on leaning, DA, other factors.</t>
  </si>
  <si>
    <t>Engine: Lycoming 0-360A4N / 180 HP@2700 RPM Air Planes STC</t>
  </si>
  <si>
    <t>Utility Category</t>
  </si>
  <si>
    <t>Moment Env Utility</t>
  </si>
  <si>
    <t>CG Envelope Utility</t>
  </si>
  <si>
    <t xml:space="preserve">Oil ( 7 Qts) </t>
  </si>
  <si>
    <t xml:space="preserve">Oil ( 8 Qts) </t>
  </si>
  <si>
    <t xml:space="preserve">Area 2 Baggage 50# Max:  </t>
  </si>
  <si>
    <t xml:space="preserve">Arrival Fuel (Gal):  </t>
  </si>
  <si>
    <t>At Take Off Weight  IAS - Knots</t>
  </si>
  <si>
    <t xml:space="preserve"> Gross Wt IAS Knots</t>
  </si>
  <si>
    <t>Take Off Wt</t>
  </si>
  <si>
    <t>Landing Wt.</t>
  </si>
  <si>
    <t>SF Lnd @ 30 Deg Flaps</t>
  </si>
  <si>
    <t>C-172M</t>
  </si>
  <si>
    <t>Fuel 38 Gallons MAX Useable</t>
  </si>
  <si>
    <t>W&amp;B Data last update for N13686:  08/28/2024</t>
  </si>
  <si>
    <t>N Number : N13686</t>
  </si>
  <si>
    <r>
      <t>* Range @ 75% Pwr</t>
    </r>
    <r>
      <rPr>
        <sz val="9"/>
        <rFont val="Arial"/>
        <family val="2"/>
      </rPr>
      <t xml:space="preserve"> =7.6 GPH</t>
    </r>
  </si>
  <si>
    <t>Serial Number:17262943</t>
  </si>
  <si>
    <t>Model/Year: 172M / 1974</t>
  </si>
  <si>
    <t>* Range based on POH Fuel Burn @ % power, 8,000' Std Conditions - may be more or less depending on leaning, DA, other factors.</t>
  </si>
  <si>
    <t>Engine: Lycoming 0-320 / 160 HP@2700 RPM (upgraded 4/09 from 150 HP to 160 HP</t>
  </si>
  <si>
    <t xml:space="preserve"> Gross Wt</t>
  </si>
  <si>
    <t>W&amp;B Data last update for N4464R:  8/6/2024</t>
  </si>
  <si>
    <t>C172M  Weight and Balance Envelope (Normal)</t>
  </si>
  <si>
    <t>N Number : N4464R</t>
  </si>
  <si>
    <r>
      <t>* Range @ 75% Pwr</t>
    </r>
    <r>
      <rPr>
        <sz val="9"/>
        <rFont val="Arial"/>
        <family val="2"/>
      </rPr>
      <t xml:space="preserve"> =8.0 GPH</t>
    </r>
  </si>
  <si>
    <t>Serial Number:17263206  4-23-1974</t>
  </si>
  <si>
    <t>* Range based on POH Fuel Burn @ 75% power, 8,000' Std Conditions - may be more or less depending on leaning, DA, other factors.</t>
  </si>
  <si>
    <t>Engine: Lycoming 0-320 / 160 HP@2700 RPM (upgraded from 150 HP to 160 HP)</t>
  </si>
  <si>
    <t xml:space="preserve">Arival Fuel (Gal):  </t>
  </si>
  <si>
    <t>C-152</t>
  </si>
  <si>
    <t>Fuel 24.5 Gal. MAX Useable</t>
  </si>
  <si>
    <t>N Number : N67375</t>
  </si>
  <si>
    <t>C-152 Weight and Balance Envelope (Normal)</t>
  </si>
  <si>
    <t>Serial Number:15281791</t>
  </si>
  <si>
    <t>Model/Year: 152 / 1978</t>
  </si>
  <si>
    <t>* Range @ 71% Pwr = 5.8 GPH</t>
  </si>
  <si>
    <t>Engine: Lycoming 0-235 / 110 HP@2550 RPM</t>
  </si>
  <si>
    <t>* Range based on POH Fuel Burn @ 71% power, 8,000' Std Conditions - may be more or less depending on leaning, DA, other factors.</t>
  </si>
  <si>
    <t>Updated W&amp;B data for 375 -New Avionics</t>
  </si>
  <si>
    <t>Aircraft W&amp;B Datasheet last update: 4/1/2025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</si>
</sst>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0"/>
    <numFmt numFmtId="165" formatCode="0_);[Red]\(0\)"/>
    <numFmt numFmtId="166" formatCode="_(\$* #,##0.00_);_(\$* \(#,##0.00\);_(\$* \-??_);_(@_)"/>
    <numFmt numFmtId="167" formatCode="0.00&quot;  &quot;"/>
    <numFmt numFmtId="168" formatCode="#,##0&quot;  &quot;"/>
    <numFmt numFmtId="169" formatCode="0.0&quot;  &quot;"/>
    <numFmt numFmtId="170" formatCode="0&quot;  &quot;"/>
    <numFmt numFmtId="171" formatCode="0.0_);[Red]\(0.0\)"/>
    <numFmt numFmtId="172" formatCode="0.0000&quot;  &quot;"/>
  </numFmts>
  <fonts count="19">
    <font>
      <sz val="10"/>
      <name val="Courier New"/>
      <family val="3"/>
    </font>
    <font>
      <sz val="10"/>
      <name val="Arial"/>
      <family val="2"/>
    </font>
    <font>
      <sz val="10"/>
      <name val="MS Sans Serif"/>
      <family val="2"/>
    </font>
    <font>
      <b/>
      <sz val="12"/>
      <name val="Courier New"/>
      <family val="3"/>
    </font>
    <font>
      <b/>
      <sz val="10"/>
      <name val="Courier New"/>
      <family val="3"/>
    </font>
    <font>
      <u/>
      <sz val="10"/>
      <name val="Courier New"/>
      <family val="3"/>
    </font>
    <font>
      <b/>
      <sz val="10"/>
      <color indexed="10"/>
      <name val="Courier New"/>
      <family val="3"/>
    </font>
    <font>
      <sz val="15"/>
      <name val="Arial"/>
      <family val="2"/>
    </font>
    <font>
      <u/>
      <sz val="10"/>
      <color indexed="12"/>
      <name val="Arial"/>
      <family val="2"/>
    </font>
    <font>
      <sz val="11"/>
      <name val="Arial"/>
      <family val="2"/>
    </font>
    <font>
      <b/>
      <sz val="10"/>
      <name val="Arial"/>
      <family val="2"/>
    </font>
    <font>
      <sz val="8"/>
      <name val="Arial"/>
      <family val="2"/>
    </font>
    <font>
      <sz val="9"/>
      <name val="Arial"/>
      <family val="2"/>
    </font>
    <font>
      <b/>
      <sz val="9"/>
      <name val="Arial"/>
      <family val="2"/>
    </font>
    <font>
      <sz val="9"/>
      <name val="MS Sans Serif"/>
      <family val="2"/>
    </font>
    <font>
      <sz val="8"/>
      <name val="Courier New"/>
      <family val="3"/>
    </font>
    <font>
      <sz val="10"/>
      <name val="Courier New"/>
      <family val="3"/>
    </font>
    <font>
      <b/>
      <sz val="12"/>
      <color rgb="FFFF0000"/>
      <name val="Courier New"/>
      <family val="1"/>
    </font>
    <font>
      <sz val="12"/>
      <color rgb="FFFF0000"/>
      <name val="Arial"/>
      <family val="2"/>
    </font>
  </fonts>
  <fills count="11">
    <fill>
      <patternFill patternType="none"/>
    </fill>
    <fill>
      <patternFill patternType="gray125"/>
    </fill>
    <fill>
      <patternFill patternType="solid">
        <fgColor indexed="43"/>
        <bgColor indexed="26"/>
      </patternFill>
    </fill>
    <fill>
      <patternFill patternType="solid">
        <fgColor indexed="42"/>
        <bgColor indexed="27"/>
      </patternFill>
    </fill>
    <fill>
      <patternFill patternType="solid">
        <fgColor indexed="41"/>
        <bgColor indexed="31"/>
      </patternFill>
    </fill>
    <fill>
      <patternFill patternType="solid">
        <fgColor indexed="22"/>
        <bgColor indexed="31"/>
      </patternFill>
    </fill>
    <fill>
      <patternFill patternType="solid">
        <fgColor indexed="9"/>
        <bgColor indexed="26"/>
      </patternFill>
    </fill>
    <fill>
      <patternFill patternType="solid">
        <fgColor theme="7" tint="0.59999389629810485"/>
        <bgColor indexed="27"/>
      </patternFill>
    </fill>
    <fill>
      <patternFill patternType="solid">
        <fgColor theme="5" tint="0.39997558519241921"/>
        <bgColor indexed="27"/>
      </patternFill>
    </fill>
    <fill>
      <patternFill patternType="solid">
        <fgColor theme="5" tint="0.39997558519241921"/>
        <bgColor indexed="64"/>
      </patternFill>
    </fill>
    <fill>
      <patternFill patternType="solid">
        <fgColor theme="7" tint="0.39997558519241921"/>
        <bgColor indexed="64"/>
      </patternFill>
    </fill>
  </fills>
  <borders count="75">
    <border>
      <left/>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top style="thin">
        <color indexed="8"/>
      </top>
      <bottom style="thin">
        <color indexed="8"/>
      </bottom>
      <diagonal/>
    </border>
    <border>
      <left style="medium">
        <color indexed="8"/>
      </left>
      <right/>
      <top/>
      <bottom style="thin">
        <color indexed="8"/>
      </bottom>
      <diagonal/>
    </border>
    <border>
      <left/>
      <right style="medium">
        <color indexed="8"/>
      </right>
      <top/>
      <bottom style="thin">
        <color indexed="8"/>
      </bottom>
      <diagonal/>
    </border>
    <border>
      <left style="medium">
        <color indexed="8"/>
      </left>
      <right/>
      <top style="thin">
        <color indexed="8"/>
      </top>
      <bottom/>
      <diagonal/>
    </border>
    <border>
      <left/>
      <right/>
      <top style="thin">
        <color indexed="8"/>
      </top>
      <bottom/>
      <diagonal/>
    </border>
    <border>
      <left style="medium">
        <color indexed="8"/>
      </left>
      <right/>
      <top style="thin">
        <color indexed="8"/>
      </top>
      <bottom style="medium">
        <color indexed="8"/>
      </bottom>
      <diagonal/>
    </border>
    <border>
      <left/>
      <right/>
      <top style="thin">
        <color indexed="8"/>
      </top>
      <bottom style="medium">
        <color indexed="8"/>
      </bottom>
      <diagonal/>
    </border>
    <border>
      <left style="medium">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thin">
        <color indexed="8"/>
      </right>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medium">
        <color indexed="8"/>
      </right>
      <top/>
      <bottom style="thin">
        <color indexed="8"/>
      </bottom>
      <diagonal/>
    </border>
    <border>
      <left style="thin">
        <color indexed="8"/>
      </left>
      <right style="thin">
        <color indexed="8"/>
      </right>
      <top style="thin">
        <color indexed="8"/>
      </top>
      <bottom style="medium">
        <color indexed="8"/>
      </bottom>
      <diagonal/>
    </border>
    <border>
      <left/>
      <right style="thin">
        <color indexed="8"/>
      </right>
      <top style="thin">
        <color indexed="8"/>
      </top>
      <bottom style="medium">
        <color indexed="8"/>
      </bottom>
      <diagonal/>
    </border>
    <border>
      <left/>
      <right style="thin">
        <color indexed="8"/>
      </right>
      <top style="medium">
        <color indexed="8"/>
      </top>
      <bottom style="thin">
        <color indexed="8"/>
      </bottom>
      <diagonal/>
    </border>
    <border>
      <left style="medium">
        <color indexed="8"/>
      </left>
      <right/>
      <top style="thin">
        <color indexed="8"/>
      </top>
      <bottom style="double">
        <color indexed="8"/>
      </bottom>
      <diagonal/>
    </border>
    <border>
      <left/>
      <right style="thin">
        <color indexed="8"/>
      </right>
      <top style="thin">
        <color indexed="8"/>
      </top>
      <bottom style="double">
        <color indexed="8"/>
      </bottom>
      <diagonal/>
    </border>
    <border>
      <left style="thin">
        <color indexed="8"/>
      </left>
      <right style="thin">
        <color indexed="8"/>
      </right>
      <top style="thin">
        <color indexed="8"/>
      </top>
      <bottom style="double">
        <color indexed="8"/>
      </bottom>
      <diagonal/>
    </border>
    <border>
      <left style="thin">
        <color indexed="8"/>
      </left>
      <right style="medium">
        <color indexed="8"/>
      </right>
      <top style="thin">
        <color indexed="8"/>
      </top>
      <bottom style="double">
        <color indexed="8"/>
      </bottom>
      <diagonal/>
    </border>
    <border>
      <left style="medium">
        <color indexed="8"/>
      </left>
      <right/>
      <top/>
      <bottom/>
      <diagonal/>
    </border>
    <border>
      <left/>
      <right style="thin">
        <color indexed="8"/>
      </right>
      <top/>
      <bottom/>
      <diagonal/>
    </border>
    <border>
      <left style="thin">
        <color indexed="8"/>
      </left>
      <right style="thin">
        <color indexed="8"/>
      </right>
      <top style="double">
        <color indexed="8"/>
      </top>
      <bottom style="thin">
        <color indexed="8"/>
      </bottom>
      <diagonal/>
    </border>
    <border>
      <left style="thin">
        <color indexed="8"/>
      </left>
      <right style="medium">
        <color indexed="8"/>
      </right>
      <top style="double">
        <color indexed="8"/>
      </top>
      <bottom style="thin">
        <color indexed="8"/>
      </bottom>
      <diagonal/>
    </border>
    <border>
      <left/>
      <right style="thin">
        <color indexed="8"/>
      </right>
      <top style="thin">
        <color indexed="8"/>
      </top>
      <bottom style="thin">
        <color indexed="8"/>
      </bottom>
      <diagonal/>
    </border>
    <border>
      <left style="medium">
        <color indexed="8"/>
      </left>
      <right/>
      <top style="medium">
        <color indexed="8"/>
      </top>
      <bottom style="thin">
        <color indexed="8"/>
      </bottom>
      <diagonal/>
    </border>
    <border>
      <left style="thin">
        <color indexed="8"/>
      </left>
      <right style="thin">
        <color indexed="8"/>
      </right>
      <top/>
      <bottom/>
      <diagonal/>
    </border>
    <border>
      <left style="double">
        <color indexed="8"/>
      </left>
      <right/>
      <top style="double">
        <color indexed="8"/>
      </top>
      <bottom/>
      <diagonal/>
    </border>
    <border>
      <left/>
      <right/>
      <top style="double">
        <color indexed="8"/>
      </top>
      <bottom/>
      <diagonal/>
    </border>
    <border>
      <left/>
      <right style="double">
        <color indexed="8"/>
      </right>
      <top style="double">
        <color indexed="8"/>
      </top>
      <bottom/>
      <diagonal/>
    </border>
    <border>
      <left style="double">
        <color indexed="8"/>
      </left>
      <right/>
      <top style="medium">
        <color indexed="8"/>
      </top>
      <bottom style="double">
        <color indexed="8"/>
      </bottom>
      <diagonal/>
    </border>
    <border>
      <left/>
      <right/>
      <top style="medium">
        <color indexed="8"/>
      </top>
      <bottom style="double">
        <color indexed="8"/>
      </bottom>
      <diagonal/>
    </border>
    <border>
      <left/>
      <right style="thin">
        <color indexed="8"/>
      </right>
      <top style="medium">
        <color indexed="8"/>
      </top>
      <bottom style="double">
        <color indexed="8"/>
      </bottom>
      <diagonal/>
    </border>
    <border>
      <left style="medium">
        <color indexed="8"/>
      </left>
      <right/>
      <top style="medium">
        <color indexed="8"/>
      </top>
      <bottom style="double">
        <color indexed="8"/>
      </bottom>
      <diagonal/>
    </border>
    <border>
      <left/>
      <right style="double">
        <color indexed="8"/>
      </right>
      <top style="medium">
        <color indexed="8"/>
      </top>
      <bottom style="double">
        <color indexed="8"/>
      </bottom>
      <diagonal/>
    </border>
    <border>
      <left/>
      <right/>
      <top style="thin">
        <color indexed="8"/>
      </top>
      <bottom style="thin">
        <color indexed="8"/>
      </bottom>
      <diagonal/>
    </border>
    <border>
      <left style="medium">
        <color indexed="8"/>
      </left>
      <right/>
      <top style="medium">
        <color indexed="8"/>
      </top>
      <bottom/>
      <diagonal/>
    </border>
    <border>
      <left style="double">
        <color indexed="8"/>
      </left>
      <right/>
      <top style="thin">
        <color indexed="8"/>
      </top>
      <bottom/>
      <diagonal/>
    </border>
    <border>
      <left style="thin">
        <color indexed="8"/>
      </left>
      <right/>
      <top style="thin">
        <color indexed="8"/>
      </top>
      <bottom/>
      <diagonal/>
    </border>
    <border>
      <left style="thin">
        <color indexed="8"/>
      </left>
      <right style="double">
        <color indexed="8"/>
      </right>
      <top style="thin">
        <color indexed="8"/>
      </top>
      <bottom/>
      <diagonal/>
    </border>
    <border>
      <left style="thin">
        <color indexed="8"/>
      </left>
      <right/>
      <top style="thin">
        <color indexed="8"/>
      </top>
      <bottom style="double">
        <color indexed="8"/>
      </bottom>
      <diagonal/>
    </border>
    <border>
      <left/>
      <right/>
      <top style="thin">
        <color indexed="8"/>
      </top>
      <bottom style="double">
        <color indexed="8"/>
      </bottom>
      <diagonal/>
    </border>
    <border>
      <left style="thin">
        <color indexed="8"/>
      </left>
      <right/>
      <top/>
      <bottom style="thin">
        <color indexed="8"/>
      </bottom>
      <diagonal/>
    </border>
    <border>
      <left/>
      <right/>
      <top/>
      <bottom style="thin">
        <color indexed="8"/>
      </bottom>
      <diagonal/>
    </border>
    <border>
      <left style="thin">
        <color indexed="8"/>
      </left>
      <right style="double">
        <color indexed="8"/>
      </right>
      <top style="thin">
        <color indexed="8"/>
      </top>
      <bottom style="double">
        <color indexed="8"/>
      </bottom>
      <diagonal/>
    </border>
    <border>
      <left/>
      <right/>
      <top style="medium">
        <color indexed="8"/>
      </top>
      <bottom/>
      <diagonal/>
    </border>
    <border>
      <left style="thin">
        <color indexed="8"/>
      </left>
      <right/>
      <top style="medium">
        <color indexed="8"/>
      </top>
      <bottom/>
      <diagonal/>
    </border>
    <border>
      <left style="thin">
        <color indexed="8"/>
      </left>
      <right style="double">
        <color indexed="8"/>
      </right>
      <top style="medium">
        <color indexed="8"/>
      </top>
      <bottom/>
      <diagonal/>
    </border>
    <border>
      <left style="double">
        <color indexed="8"/>
      </left>
      <right/>
      <top/>
      <bottom/>
      <diagonal/>
    </border>
    <border>
      <left style="thin">
        <color indexed="8"/>
      </left>
      <right/>
      <top/>
      <bottom/>
      <diagonal/>
    </border>
    <border>
      <left style="thin">
        <color indexed="8"/>
      </left>
      <right style="double">
        <color indexed="8"/>
      </right>
      <top/>
      <bottom style="double">
        <color indexed="8"/>
      </bottom>
      <diagonal/>
    </border>
    <border>
      <left style="medium">
        <color indexed="8"/>
      </left>
      <right/>
      <top style="double">
        <color indexed="8"/>
      </top>
      <bottom/>
      <diagonal/>
    </border>
    <border>
      <left style="thin">
        <color indexed="8"/>
      </left>
      <right style="thin">
        <color indexed="8"/>
      </right>
      <top style="double">
        <color indexed="8"/>
      </top>
      <bottom/>
      <diagonal/>
    </border>
    <border>
      <left style="thin">
        <color indexed="8"/>
      </left>
      <right/>
      <top style="double">
        <color indexed="8"/>
      </top>
      <bottom/>
      <diagonal/>
    </border>
    <border>
      <left style="thin">
        <color indexed="8"/>
      </left>
      <right style="thin">
        <color indexed="8"/>
      </right>
      <top style="thin">
        <color indexed="8"/>
      </top>
      <bottom/>
      <diagonal/>
    </border>
    <border>
      <left style="double">
        <color indexed="8"/>
      </left>
      <right/>
      <top style="medium">
        <color indexed="8"/>
      </top>
      <bottom/>
      <diagonal/>
    </border>
    <border>
      <left/>
      <right style="medium">
        <color indexed="8"/>
      </right>
      <top style="medium">
        <color indexed="8"/>
      </top>
      <bottom style="double">
        <color indexed="8"/>
      </bottom>
      <diagonal/>
    </border>
    <border>
      <left style="medium">
        <color indexed="8"/>
      </left>
      <right style="medium">
        <color indexed="8"/>
      </right>
      <top style="medium">
        <color indexed="8"/>
      </top>
      <bottom style="medium">
        <color indexed="8"/>
      </bottom>
      <diagonal/>
    </border>
    <border>
      <left style="medium">
        <color indexed="8"/>
      </left>
      <right style="double">
        <color indexed="8"/>
      </right>
      <top style="medium">
        <color indexed="8"/>
      </top>
      <bottom/>
      <diagonal/>
    </border>
    <border>
      <left style="double">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medium">
        <color indexed="8"/>
      </left>
      <right style="thin">
        <color indexed="8"/>
      </right>
      <top/>
      <bottom/>
      <diagonal/>
    </border>
    <border>
      <left style="thin">
        <color indexed="8"/>
      </left>
      <right style="medium">
        <color indexed="8"/>
      </right>
      <top/>
      <bottom/>
      <diagonal/>
    </border>
  </borders>
  <cellStyleXfs count="4">
    <xf numFmtId="0" fontId="0" fillId="0" borderId="0"/>
    <xf numFmtId="166" fontId="16" fillId="0" borderId="0" applyFill="0" applyBorder="0" applyAlignment="0" applyProtection="0"/>
    <xf numFmtId="0" fontId="2" fillId="0" borderId="0"/>
    <xf numFmtId="9" fontId="16" fillId="0" borderId="0" applyFill="0" applyBorder="0" applyAlignment="0" applyProtection="0"/>
  </cellStyleXfs>
  <cellXfs count="274">
    <xf numFmtId="0" fontId="0" fillId="0" borderId="0" xfId="0"/>
    <xf numFmtId="14" fontId="0" fillId="0" borderId="0" xfId="0" applyNumberFormat="1"/>
    <xf numFmtId="0" fontId="3" fillId="0" borderId="0" xfId="0" applyFont="1"/>
    <xf numFmtId="0" fontId="4" fillId="0" borderId="0" xfId="0" applyFont="1"/>
    <xf numFmtId="0" fontId="0" fillId="0" borderId="1" xfId="0" applyBorder="1"/>
    <xf numFmtId="0" fontId="0" fillId="0" borderId="2" xfId="0" applyBorder="1"/>
    <xf numFmtId="0" fontId="0" fillId="0" borderId="3" xfId="0" applyBorder="1"/>
    <xf numFmtId="0" fontId="4" fillId="2" borderId="1" xfId="0" applyFont="1" applyFill="1" applyBorder="1"/>
    <xf numFmtId="0" fontId="4" fillId="3" borderId="1" xfId="0" applyFont="1" applyFill="1" applyBorder="1"/>
    <xf numFmtId="0" fontId="0" fillId="0" borderId="0" xfId="0" applyAlignment="1">
      <alignment horizontal="center"/>
    </xf>
    <xf numFmtId="0" fontId="7" fillId="0" borderId="0" xfId="0" applyFont="1" applyAlignment="1">
      <alignment horizontal="center"/>
    </xf>
    <xf numFmtId="0" fontId="9" fillId="0" borderId="0" xfId="0" applyFont="1" applyAlignment="1">
      <alignment wrapText="1"/>
    </xf>
    <xf numFmtId="0" fontId="0" fillId="0" borderId="14" xfId="0" applyBorder="1"/>
    <xf numFmtId="0" fontId="0" fillId="0" borderId="18" xfId="0" applyBorder="1"/>
    <xf numFmtId="0" fontId="0" fillId="0" borderId="27" xfId="0" applyBorder="1"/>
    <xf numFmtId="0" fontId="10" fillId="0" borderId="32" xfId="0" applyFont="1" applyBorder="1"/>
    <xf numFmtId="0" fontId="10" fillId="0" borderId="13" xfId="0" applyFont="1" applyBorder="1"/>
    <xf numFmtId="0" fontId="0" fillId="0" borderId="36" xfId="0" applyBorder="1"/>
    <xf numFmtId="0" fontId="11" fillId="0" borderId="0" xfId="2" applyFont="1"/>
    <xf numFmtId="0" fontId="11" fillId="0" borderId="38" xfId="2" applyFont="1" applyBorder="1" applyAlignment="1">
      <alignment horizontal="center"/>
    </xf>
    <xf numFmtId="164" fontId="11" fillId="0" borderId="38" xfId="2" applyNumberFormat="1" applyFont="1" applyBorder="1"/>
    <xf numFmtId="0" fontId="11" fillId="0" borderId="38" xfId="2" applyFont="1" applyBorder="1"/>
    <xf numFmtId="1" fontId="11" fillId="0" borderId="38" xfId="2" applyNumberFormat="1" applyFont="1" applyBorder="1"/>
    <xf numFmtId="164" fontId="11" fillId="0" borderId="38" xfId="2" applyNumberFormat="1" applyFont="1" applyBorder="1" applyAlignment="1">
      <alignment horizontal="right"/>
    </xf>
    <xf numFmtId="164" fontId="11" fillId="0" borderId="38" xfId="2" applyNumberFormat="1" applyFont="1" applyBorder="1" applyAlignment="1">
      <alignment horizontal="center"/>
    </xf>
    <xf numFmtId="1" fontId="11" fillId="0" borderId="38" xfId="2" applyNumberFormat="1" applyFont="1" applyBorder="1" applyAlignment="1">
      <alignment horizontal="center"/>
    </xf>
    <xf numFmtId="2" fontId="11" fillId="4" borderId="38" xfId="2" applyNumberFormat="1" applyFont="1" applyFill="1" applyBorder="1"/>
    <xf numFmtId="0" fontId="11" fillId="0" borderId="0" xfId="2" applyFont="1" applyAlignment="1">
      <alignment horizontal="center"/>
    </xf>
    <xf numFmtId="164" fontId="11" fillId="0" borderId="0" xfId="2" applyNumberFormat="1" applyFont="1"/>
    <xf numFmtId="1" fontId="11" fillId="0" borderId="0" xfId="2" applyNumberFormat="1" applyFont="1"/>
    <xf numFmtId="164" fontId="11" fillId="0" borderId="0" xfId="2" applyNumberFormat="1" applyFont="1" applyAlignment="1">
      <alignment horizontal="right"/>
    </xf>
    <xf numFmtId="0" fontId="12" fillId="0" borderId="0" xfId="2" applyFont="1"/>
    <xf numFmtId="164" fontId="12" fillId="0" borderId="0" xfId="2" applyNumberFormat="1" applyFont="1"/>
    <xf numFmtId="164" fontId="12" fillId="0" borderId="0" xfId="2" applyNumberFormat="1" applyFont="1" applyAlignment="1">
      <alignment horizontal="center"/>
    </xf>
    <xf numFmtId="1" fontId="12" fillId="0" borderId="0" xfId="2" applyNumberFormat="1" applyFont="1" applyAlignment="1">
      <alignment horizontal="center"/>
    </xf>
    <xf numFmtId="2" fontId="12" fillId="0" borderId="0" xfId="2" applyNumberFormat="1" applyFont="1"/>
    <xf numFmtId="0" fontId="13" fillId="5" borderId="39" xfId="2" applyFont="1" applyFill="1" applyBorder="1" applyAlignment="1">
      <alignment horizontal="left"/>
    </xf>
    <xf numFmtId="164" fontId="12" fillId="5" borderId="40" xfId="2" applyNumberFormat="1" applyFont="1" applyFill="1" applyBorder="1"/>
    <xf numFmtId="0" fontId="12" fillId="5" borderId="40" xfId="2" applyFont="1" applyFill="1" applyBorder="1"/>
    <xf numFmtId="1" fontId="12" fillId="5" borderId="40" xfId="2" applyNumberFormat="1" applyFont="1" applyFill="1" applyBorder="1"/>
    <xf numFmtId="164" fontId="12" fillId="5" borderId="41" xfId="2" applyNumberFormat="1" applyFont="1" applyFill="1" applyBorder="1"/>
    <xf numFmtId="0" fontId="12" fillId="0" borderId="42" xfId="2" applyFont="1" applyBorder="1" applyAlignment="1">
      <alignment horizontal="center"/>
    </xf>
    <xf numFmtId="0" fontId="12" fillId="0" borderId="43" xfId="2" applyFont="1" applyBorder="1" applyAlignment="1">
      <alignment horizontal="right"/>
    </xf>
    <xf numFmtId="0" fontId="12" fillId="0" borderId="44" xfId="2" applyFont="1" applyBorder="1"/>
    <xf numFmtId="0" fontId="12" fillId="0" borderId="45" xfId="2" applyFont="1" applyBorder="1"/>
    <xf numFmtId="1" fontId="12" fillId="0" borderId="43" xfId="2" applyNumberFormat="1" applyFont="1" applyBorder="1" applyAlignment="1">
      <alignment horizontal="right"/>
    </xf>
    <xf numFmtId="14" fontId="12" fillId="0" borderId="44" xfId="2" applyNumberFormat="1" applyFont="1" applyBorder="1" applyAlignment="1">
      <alignment horizontal="center"/>
    </xf>
    <xf numFmtId="14" fontId="12" fillId="2" borderId="44" xfId="2" applyNumberFormat="1" applyFont="1" applyFill="1" applyBorder="1" applyProtection="1">
      <protection locked="0"/>
    </xf>
    <xf numFmtId="1" fontId="12" fillId="0" borderId="45" xfId="2" applyNumberFormat="1" applyFont="1" applyBorder="1"/>
    <xf numFmtId="164" fontId="12" fillId="0" borderId="43" xfId="2" applyNumberFormat="1" applyFont="1" applyBorder="1" applyAlignment="1">
      <alignment horizontal="right"/>
    </xf>
    <xf numFmtId="20" fontId="12" fillId="2" borderId="44" xfId="2" applyNumberFormat="1" applyFont="1" applyFill="1" applyBorder="1" applyProtection="1">
      <protection locked="0"/>
    </xf>
    <xf numFmtId="20" fontId="12" fillId="2" borderId="46" xfId="2" applyNumberFormat="1" applyFont="1" applyFill="1" applyBorder="1" applyProtection="1">
      <protection locked="0"/>
    </xf>
    <xf numFmtId="1" fontId="12" fillId="0" borderId="0" xfId="2" applyNumberFormat="1" applyFont="1" applyAlignment="1">
      <alignment horizontal="right"/>
    </xf>
    <xf numFmtId="14" fontId="12" fillId="0" borderId="0" xfId="2" applyNumberFormat="1" applyFont="1" applyProtection="1">
      <protection locked="0"/>
    </xf>
    <xf numFmtId="1" fontId="12" fillId="0" borderId="0" xfId="2" applyNumberFormat="1" applyFont="1"/>
    <xf numFmtId="164" fontId="12" fillId="0" borderId="0" xfId="2" applyNumberFormat="1" applyFont="1" applyAlignment="1">
      <alignment horizontal="right"/>
    </xf>
    <xf numFmtId="20" fontId="12" fillId="0" borderId="0" xfId="2" applyNumberFormat="1" applyFont="1" applyProtection="1">
      <protection locked="0"/>
    </xf>
    <xf numFmtId="0" fontId="11" fillId="0" borderId="47" xfId="2" applyFont="1" applyBorder="1"/>
    <xf numFmtId="0" fontId="11" fillId="0" borderId="36" xfId="2" applyFont="1" applyBorder="1"/>
    <xf numFmtId="164" fontId="11" fillId="2" borderId="9" xfId="2" applyNumberFormat="1" applyFont="1" applyFill="1" applyBorder="1"/>
    <xf numFmtId="164" fontId="11" fillId="2" borderId="47" xfId="2" applyNumberFormat="1" applyFont="1" applyFill="1" applyBorder="1"/>
    <xf numFmtId="164" fontId="11" fillId="2" borderId="36" xfId="2" applyNumberFormat="1" applyFont="1" applyFill="1" applyBorder="1" applyAlignment="1" applyProtection="1">
      <alignment horizontal="right"/>
      <protection locked="0"/>
    </xf>
    <xf numFmtId="20" fontId="12" fillId="0" borderId="0" xfId="2" applyNumberFormat="1" applyFont="1"/>
    <xf numFmtId="0" fontId="12" fillId="5" borderId="48" xfId="2" applyFont="1" applyFill="1" applyBorder="1"/>
    <xf numFmtId="0" fontId="12" fillId="5" borderId="49" xfId="2" applyFont="1" applyFill="1" applyBorder="1" applyAlignment="1">
      <alignment horizontal="center"/>
    </xf>
    <xf numFmtId="0" fontId="12" fillId="5" borderId="50" xfId="2" applyFont="1" applyFill="1" applyBorder="1" applyAlignment="1">
      <alignment horizontal="center"/>
    </xf>
    <xf numFmtId="0" fontId="12" fillId="5" borderId="32" xfId="2" applyFont="1" applyFill="1" applyBorder="1" applyAlignment="1">
      <alignment horizontal="center"/>
    </xf>
    <xf numFmtId="0" fontId="12" fillId="5" borderId="15" xfId="2" applyFont="1" applyFill="1" applyBorder="1" applyAlignment="1">
      <alignment horizontal="center"/>
    </xf>
    <xf numFmtId="0" fontId="12" fillId="5" borderId="51" xfId="2" applyFont="1" applyFill="1" applyBorder="1" applyAlignment="1">
      <alignment horizontal="center"/>
    </xf>
    <xf numFmtId="164" fontId="11" fillId="0" borderId="53" xfId="2" applyNumberFormat="1" applyFont="1" applyBorder="1"/>
    <xf numFmtId="0" fontId="11" fillId="0" borderId="29" xfId="2" applyFont="1" applyBorder="1"/>
    <xf numFmtId="9" fontId="12" fillId="0" borderId="0" xfId="3" applyFont="1" applyFill="1" applyBorder="1" applyAlignment="1" applyProtection="1">
      <alignment horizontal="center"/>
    </xf>
    <xf numFmtId="167" fontId="12" fillId="5" borderId="49" xfId="2" applyNumberFormat="1" applyFont="1" applyFill="1" applyBorder="1"/>
    <xf numFmtId="168" fontId="12" fillId="5" borderId="50" xfId="2" applyNumberFormat="1" applyFont="1" applyFill="1" applyBorder="1" applyAlignment="1">
      <alignment horizontal="right"/>
    </xf>
    <xf numFmtId="0" fontId="12" fillId="5" borderId="32" xfId="2" applyFont="1" applyFill="1" applyBorder="1"/>
    <xf numFmtId="167" fontId="12" fillId="5" borderId="15" xfId="2" applyNumberFormat="1" applyFont="1" applyFill="1" applyBorder="1"/>
    <xf numFmtId="168" fontId="12" fillId="5" borderId="51" xfId="2" applyNumberFormat="1" applyFont="1" applyFill="1" applyBorder="1"/>
    <xf numFmtId="164" fontId="11" fillId="0" borderId="55" xfId="2" applyNumberFormat="1" applyFont="1" applyBorder="1"/>
    <xf numFmtId="0" fontId="11" fillId="0" borderId="23" xfId="2" applyFont="1" applyBorder="1"/>
    <xf numFmtId="165" fontId="10" fillId="3" borderId="22" xfId="2" applyNumberFormat="1" applyFont="1" applyFill="1" applyBorder="1" applyAlignment="1">
      <alignment horizontal="center"/>
    </xf>
    <xf numFmtId="2" fontId="12" fillId="0" borderId="0" xfId="2" applyNumberFormat="1" applyFont="1" applyAlignment="1">
      <alignment horizontal="center"/>
    </xf>
    <xf numFmtId="0" fontId="14" fillId="0" borderId="0" xfId="2" applyFont="1"/>
    <xf numFmtId="0" fontId="12" fillId="0" borderId="0" xfId="2" applyFont="1" applyAlignment="1">
      <alignment horizontal="left"/>
    </xf>
    <xf numFmtId="0" fontId="14" fillId="2" borderId="10" xfId="2" applyFont="1" applyFill="1" applyBorder="1"/>
    <xf numFmtId="167" fontId="12" fillId="5" borderId="28" xfId="2" applyNumberFormat="1" applyFont="1" applyFill="1" applyBorder="1"/>
    <xf numFmtId="168" fontId="12" fillId="5" borderId="56" xfId="2" applyNumberFormat="1" applyFont="1" applyFill="1" applyBorder="1"/>
    <xf numFmtId="0" fontId="12" fillId="0" borderId="48" xfId="2" applyFont="1" applyBorder="1" applyAlignment="1">
      <alignment horizontal="center"/>
    </xf>
    <xf numFmtId="0" fontId="12" fillId="0" borderId="57" xfId="2" applyFont="1" applyBorder="1" applyAlignment="1">
      <alignment horizontal="center"/>
    </xf>
    <xf numFmtId="1" fontId="12" fillId="0" borderId="58" xfId="2" applyNumberFormat="1" applyFont="1" applyBorder="1" applyAlignment="1">
      <alignment horizontal="center"/>
    </xf>
    <xf numFmtId="0" fontId="12" fillId="0" borderId="59" xfId="2" applyFont="1" applyBorder="1" applyAlignment="1">
      <alignment horizontal="center"/>
    </xf>
    <xf numFmtId="0" fontId="12" fillId="0" borderId="40" xfId="2" applyFont="1" applyBorder="1"/>
    <xf numFmtId="0" fontId="12" fillId="0" borderId="60" xfId="2" applyFont="1" applyBorder="1" applyAlignment="1">
      <alignment horizontal="left"/>
    </xf>
    <xf numFmtId="0" fontId="12" fillId="0" borderId="32" xfId="2" applyFont="1" applyBorder="1" applyAlignment="1">
      <alignment horizontal="center"/>
    </xf>
    <xf numFmtId="0" fontId="12" fillId="0" borderId="0" xfId="2" applyFont="1" applyAlignment="1">
      <alignment horizontal="center"/>
    </xf>
    <xf numFmtId="1" fontId="12" fillId="0" borderId="61" xfId="2" applyNumberFormat="1" applyFont="1" applyBorder="1" applyAlignment="1">
      <alignment horizontal="center"/>
    </xf>
    <xf numFmtId="0" fontId="12" fillId="0" borderId="62" xfId="2" applyFont="1" applyBorder="1" applyAlignment="1">
      <alignment horizontal="center"/>
    </xf>
    <xf numFmtId="0" fontId="12" fillId="0" borderId="39" xfId="2" applyFont="1" applyBorder="1" applyAlignment="1">
      <alignment horizontal="left"/>
    </xf>
    <xf numFmtId="164" fontId="12" fillId="0" borderId="40" xfId="2" applyNumberFormat="1" applyFont="1" applyBorder="1"/>
    <xf numFmtId="169" fontId="12" fillId="0" borderId="40" xfId="2" applyNumberFormat="1" applyFont="1" applyBorder="1" applyAlignment="1">
      <alignment horizontal="right"/>
    </xf>
    <xf numFmtId="169" fontId="12" fillId="0" borderId="63" xfId="2" applyNumberFormat="1" applyFont="1" applyBorder="1"/>
    <xf numFmtId="169" fontId="12" fillId="0" borderId="64" xfId="2" applyNumberFormat="1" applyFont="1" applyBorder="1"/>
    <xf numFmtId="167" fontId="12" fillId="0" borderId="65" xfId="2" applyNumberFormat="1" applyFont="1" applyBorder="1"/>
    <xf numFmtId="167" fontId="12" fillId="0" borderId="51" xfId="2" applyNumberFormat="1" applyFont="1" applyBorder="1"/>
    <xf numFmtId="0" fontId="12" fillId="0" borderId="49" xfId="2" applyFont="1" applyBorder="1"/>
    <xf numFmtId="164" fontId="12" fillId="0" borderId="16" xfId="2" applyNumberFormat="1" applyFont="1" applyBorder="1"/>
    <xf numFmtId="169" fontId="12" fillId="0" borderId="49" xfId="2" applyNumberFormat="1" applyFont="1" applyBorder="1" applyAlignment="1">
      <alignment horizontal="right"/>
    </xf>
    <xf numFmtId="169" fontId="12" fillId="2" borderId="15" xfId="2" applyNumberFormat="1" applyFont="1" applyFill="1" applyBorder="1" applyProtection="1">
      <protection locked="0"/>
    </xf>
    <xf numFmtId="169" fontId="12" fillId="2" borderId="66" xfId="2" applyNumberFormat="1" applyFont="1" applyFill="1" applyBorder="1" applyProtection="1">
      <protection locked="0"/>
    </xf>
    <xf numFmtId="169" fontId="12" fillId="0" borderId="50" xfId="2" applyNumberFormat="1" applyFont="1" applyBorder="1"/>
    <xf numFmtId="169" fontId="12" fillId="0" borderId="51" xfId="2" applyNumberFormat="1" applyFont="1" applyBorder="1"/>
    <xf numFmtId="169" fontId="12" fillId="0" borderId="15" xfId="2" applyNumberFormat="1" applyFont="1" applyBorder="1"/>
    <xf numFmtId="0" fontId="12" fillId="0" borderId="49" xfId="2" applyFont="1" applyBorder="1" applyAlignment="1">
      <alignment horizontal="left"/>
    </xf>
    <xf numFmtId="169" fontId="12" fillId="0" borderId="16" xfId="2" applyNumberFormat="1" applyFont="1" applyBorder="1" applyAlignment="1">
      <alignment horizontal="right"/>
    </xf>
    <xf numFmtId="164" fontId="11" fillId="0" borderId="0" xfId="2" applyNumberFormat="1" applyFont="1" applyAlignment="1">
      <alignment horizontal="center"/>
    </xf>
    <xf numFmtId="0" fontId="12" fillId="0" borderId="49" xfId="2" applyFont="1" applyBorder="1" applyAlignment="1">
      <alignment horizontal="center"/>
    </xf>
    <xf numFmtId="169" fontId="12" fillId="6" borderId="66" xfId="2" applyNumberFormat="1" applyFont="1" applyFill="1" applyBorder="1"/>
    <xf numFmtId="169" fontId="12" fillId="6" borderId="10" xfId="2" applyNumberFormat="1" applyFont="1" applyFill="1" applyBorder="1"/>
    <xf numFmtId="164" fontId="12" fillId="0" borderId="16" xfId="2" applyNumberFormat="1" applyFont="1" applyBorder="1" applyAlignment="1">
      <alignment horizontal="right"/>
    </xf>
    <xf numFmtId="169" fontId="12" fillId="0" borderId="16" xfId="2" applyNumberFormat="1" applyFont="1" applyBorder="1"/>
    <xf numFmtId="0" fontId="11" fillId="0" borderId="49" xfId="2" applyFont="1" applyBorder="1" applyAlignment="1">
      <alignment horizontal="left"/>
    </xf>
    <xf numFmtId="169" fontId="12" fillId="2" borderId="50" xfId="2" applyNumberFormat="1" applyFont="1" applyFill="1" applyBorder="1" applyProtection="1">
      <protection locked="0"/>
    </xf>
    <xf numFmtId="0" fontId="12" fillId="0" borderId="67" xfId="2" applyFont="1" applyBorder="1" applyAlignment="1">
      <alignment horizontal="left"/>
    </xf>
    <xf numFmtId="164" fontId="12" fillId="0" borderId="57" xfId="2" applyNumberFormat="1" applyFont="1" applyBorder="1"/>
    <xf numFmtId="169" fontId="12" fillId="0" borderId="57" xfId="2" applyNumberFormat="1" applyFont="1" applyBorder="1" applyAlignment="1">
      <alignment horizontal="right"/>
    </xf>
    <xf numFmtId="169" fontId="12" fillId="3" borderId="48" xfId="2" applyNumberFormat="1" applyFont="1" applyFill="1" applyBorder="1"/>
    <xf numFmtId="169" fontId="12" fillId="3" borderId="58" xfId="2" applyNumberFormat="1" applyFont="1" applyFill="1" applyBorder="1"/>
    <xf numFmtId="169" fontId="12" fillId="3" borderId="59" xfId="2" applyNumberFormat="1" applyFont="1" applyFill="1" applyBorder="1"/>
    <xf numFmtId="169" fontId="12" fillId="3" borderId="57" xfId="2" applyNumberFormat="1" applyFont="1" applyFill="1" applyBorder="1"/>
    <xf numFmtId="0" fontId="12" fillId="0" borderId="42" xfId="2" applyFont="1" applyBorder="1" applyAlignment="1">
      <alignment horizontal="left"/>
    </xf>
    <xf numFmtId="164" fontId="12" fillId="0" borderId="43" xfId="2" applyNumberFormat="1" applyFont="1" applyBorder="1"/>
    <xf numFmtId="169" fontId="12" fillId="0" borderId="43" xfId="2" applyNumberFormat="1" applyFont="1" applyBorder="1"/>
    <xf numFmtId="169" fontId="12" fillId="0" borderId="68" xfId="2" applyNumberFormat="1" applyFont="1" applyBorder="1" applyAlignment="1">
      <alignment horizontal="right"/>
    </xf>
    <xf numFmtId="169" fontId="12" fillId="3" borderId="46" xfId="2" applyNumberFormat="1" applyFont="1" applyFill="1" applyBorder="1"/>
    <xf numFmtId="2" fontId="11" fillId="0" borderId="0" xfId="2" applyNumberFormat="1" applyFont="1"/>
    <xf numFmtId="1" fontId="11" fillId="0" borderId="0" xfId="2" applyNumberFormat="1" applyFont="1" applyAlignment="1">
      <alignment horizontal="center"/>
    </xf>
    <xf numFmtId="0" fontId="11" fillId="0" borderId="0" xfId="2" applyFont="1" applyAlignment="1">
      <alignment wrapText="1"/>
    </xf>
    <xf numFmtId="164" fontId="11" fillId="0" borderId="10" xfId="2" applyNumberFormat="1" applyFont="1" applyBorder="1" applyAlignment="1">
      <alignment horizontal="center" wrapText="1"/>
    </xf>
    <xf numFmtId="164" fontId="11" fillId="0" borderId="10" xfId="2" applyNumberFormat="1" applyFont="1" applyBorder="1" applyAlignment="1">
      <alignment horizontal="right" wrapText="1"/>
    </xf>
    <xf numFmtId="0" fontId="11" fillId="0" borderId="0" xfId="2" applyFont="1" applyAlignment="1">
      <alignment horizontal="right"/>
    </xf>
    <xf numFmtId="164" fontId="11" fillId="0" borderId="10" xfId="2" applyNumberFormat="1" applyFont="1" applyBorder="1" applyAlignment="1">
      <alignment horizontal="center"/>
    </xf>
    <xf numFmtId="3" fontId="11" fillId="0" borderId="10" xfId="2" applyNumberFormat="1" applyFont="1" applyBorder="1" applyAlignment="1">
      <alignment horizontal="center"/>
    </xf>
    <xf numFmtId="0" fontId="11" fillId="2" borderId="10" xfId="2" applyFont="1" applyFill="1" applyBorder="1" applyAlignment="1">
      <alignment horizontal="right"/>
    </xf>
    <xf numFmtId="1" fontId="11" fillId="2" borderId="10" xfId="2" applyNumberFormat="1" applyFont="1" applyFill="1" applyBorder="1"/>
    <xf numFmtId="0" fontId="11" fillId="3" borderId="10" xfId="2" applyFont="1" applyFill="1" applyBorder="1" applyAlignment="1">
      <alignment horizontal="right"/>
    </xf>
    <xf numFmtId="0" fontId="11" fillId="3" borderId="10" xfId="2" applyFont="1" applyFill="1" applyBorder="1"/>
    <xf numFmtId="1" fontId="11" fillId="3" borderId="10" xfId="2" applyNumberFormat="1" applyFont="1" applyFill="1" applyBorder="1" applyAlignment="1">
      <alignment horizontal="right"/>
    </xf>
    <xf numFmtId="0" fontId="11" fillId="0" borderId="0" xfId="2" applyFont="1" applyAlignment="1">
      <alignment horizontal="left"/>
    </xf>
    <xf numFmtId="0" fontId="11" fillId="0" borderId="10" xfId="2" applyFont="1" applyBorder="1" applyAlignment="1">
      <alignment horizontal="right"/>
    </xf>
    <xf numFmtId="0" fontId="11" fillId="0" borderId="10" xfId="2" applyFont="1" applyBorder="1"/>
    <xf numFmtId="1" fontId="11" fillId="0" borderId="10" xfId="2" applyNumberFormat="1" applyFont="1" applyBorder="1" applyAlignment="1">
      <alignment horizontal="right"/>
    </xf>
    <xf numFmtId="1" fontId="11" fillId="0" borderId="10" xfId="2" applyNumberFormat="1" applyFont="1" applyBorder="1"/>
    <xf numFmtId="0" fontId="11" fillId="0" borderId="66" xfId="2" applyFont="1" applyBorder="1" applyAlignment="1">
      <alignment horizontal="right"/>
    </xf>
    <xf numFmtId="1" fontId="11" fillId="0" borderId="66" xfId="2" applyNumberFormat="1" applyFont="1" applyBorder="1"/>
    <xf numFmtId="1" fontId="11" fillId="3" borderId="10" xfId="2" applyNumberFormat="1" applyFont="1" applyFill="1" applyBorder="1"/>
    <xf numFmtId="165" fontId="10" fillId="0" borderId="0" xfId="2" applyNumberFormat="1" applyFont="1" applyAlignment="1">
      <alignment horizontal="center"/>
    </xf>
    <xf numFmtId="170" fontId="12" fillId="0" borderId="63" xfId="2" applyNumberFormat="1" applyFont="1" applyBorder="1"/>
    <xf numFmtId="164" fontId="0" fillId="0" borderId="10" xfId="0" applyNumberFormat="1" applyBorder="1"/>
    <xf numFmtId="169" fontId="12" fillId="6" borderId="15" xfId="2" applyNumberFormat="1" applyFont="1" applyFill="1" applyBorder="1"/>
    <xf numFmtId="14" fontId="12" fillId="0" borderId="0" xfId="2" applyNumberFormat="1" applyFont="1"/>
    <xf numFmtId="164" fontId="11" fillId="2" borderId="36" xfId="2" applyNumberFormat="1" applyFont="1" applyFill="1" applyBorder="1" applyAlignment="1">
      <alignment horizontal="right"/>
    </xf>
    <xf numFmtId="167" fontId="12" fillId="0" borderId="0" xfId="2" applyNumberFormat="1" applyFont="1"/>
    <xf numFmtId="168" fontId="12" fillId="0" borderId="0" xfId="2" applyNumberFormat="1" applyFont="1" applyAlignment="1">
      <alignment horizontal="right"/>
    </xf>
    <xf numFmtId="168" fontId="12" fillId="0" borderId="0" xfId="2" applyNumberFormat="1" applyFont="1"/>
    <xf numFmtId="170" fontId="12" fillId="2" borderId="15" xfId="2" applyNumberFormat="1" applyFont="1" applyFill="1" applyBorder="1" applyProtection="1">
      <protection locked="0"/>
    </xf>
    <xf numFmtId="0" fontId="1" fillId="3" borderId="37" xfId="0" applyFont="1" applyFill="1" applyBorder="1"/>
    <xf numFmtId="0" fontId="1" fillId="0" borderId="0" xfId="0" applyFont="1"/>
    <xf numFmtId="164" fontId="1" fillId="0" borderId="9" xfId="2" applyNumberFormat="1" applyFont="1" applyBorder="1"/>
    <xf numFmtId="0" fontId="1" fillId="0" borderId="0" xfId="2" applyFont="1"/>
    <xf numFmtId="164" fontId="12" fillId="0" borderId="10" xfId="0" applyNumberFormat="1" applyFont="1" applyBorder="1" applyAlignment="1">
      <alignment horizontal="center"/>
    </xf>
    <xf numFmtId="164" fontId="1" fillId="0" borderId="9" xfId="2" applyNumberFormat="1" applyFont="1" applyBorder="1" applyAlignment="1">
      <alignment horizontal="left"/>
    </xf>
    <xf numFmtId="0" fontId="1" fillId="0" borderId="10" xfId="0" applyFont="1" applyBorder="1" applyAlignment="1">
      <alignment horizontal="center"/>
    </xf>
    <xf numFmtId="0" fontId="1" fillId="0" borderId="6" xfId="0" applyFont="1" applyBorder="1" applyAlignment="1">
      <alignment horizontal="center"/>
    </xf>
    <xf numFmtId="16" fontId="0" fillId="0" borderId="0" xfId="0" applyNumberFormat="1"/>
    <xf numFmtId="0" fontId="1" fillId="0" borderId="72" xfId="0" applyFont="1" applyBorder="1"/>
    <xf numFmtId="165" fontId="1" fillId="0" borderId="0" xfId="0" applyNumberFormat="1" applyFont="1" applyAlignment="1">
      <alignment horizontal="center" vertical="top"/>
    </xf>
    <xf numFmtId="171" fontId="1" fillId="9" borderId="72" xfId="0" applyNumberFormat="1" applyFont="1" applyFill="1" applyBorder="1" applyAlignment="1">
      <alignment horizontal="center" vertical="top"/>
    </xf>
    <xf numFmtId="171" fontId="1" fillId="10" borderId="72" xfId="0" applyNumberFormat="1" applyFont="1" applyFill="1" applyBorder="1" applyAlignment="1">
      <alignment horizontal="center"/>
    </xf>
    <xf numFmtId="0" fontId="1" fillId="0" borderId="8" xfId="0" applyFont="1" applyBorder="1" applyAlignment="1">
      <alignment horizontal="center"/>
    </xf>
    <xf numFmtId="0" fontId="17" fillId="0" borderId="0" xfId="0" applyFont="1"/>
    <xf numFmtId="0" fontId="18" fillId="0" borderId="0" xfId="0" applyFont="1" applyAlignment="1">
      <alignment horizontal="center"/>
    </xf>
    <xf numFmtId="169" fontId="11" fillId="0" borderId="64" xfId="2" applyNumberFormat="1" applyFont="1" applyBorder="1"/>
    <xf numFmtId="167" fontId="11" fillId="0" borderId="65" xfId="2" applyNumberFormat="1" applyFont="1" applyBorder="1"/>
    <xf numFmtId="167" fontId="11" fillId="0" borderId="63" xfId="2" applyNumberFormat="1" applyFont="1" applyBorder="1"/>
    <xf numFmtId="172" fontId="11" fillId="0" borderId="51" xfId="2" applyNumberFormat="1" applyFont="1" applyBorder="1"/>
    <xf numFmtId="0" fontId="0" fillId="0" borderId="0" xfId="0" applyAlignment="1">
      <alignment wrapText="1"/>
    </xf>
    <xf numFmtId="0" fontId="1" fillId="0" borderId="4" xfId="0" applyFont="1" applyBorder="1"/>
    <xf numFmtId="0" fontId="1" fillId="2" borderId="5" xfId="0" applyFont="1" applyFill="1" applyBorder="1" applyProtection="1">
      <protection locked="0"/>
    </xf>
    <xf numFmtId="0" fontId="1" fillId="0" borderId="4" xfId="0" applyFont="1" applyBorder="1" applyAlignment="1">
      <alignment horizontal="center"/>
    </xf>
    <xf numFmtId="0" fontId="1" fillId="0" borderId="7" xfId="0" applyFont="1" applyBorder="1" applyAlignment="1">
      <alignment horizontal="center"/>
    </xf>
    <xf numFmtId="0" fontId="1" fillId="0" borderId="8" xfId="0" applyFont="1" applyBorder="1"/>
    <xf numFmtId="164" fontId="1" fillId="2" borderId="9" xfId="0" applyNumberFormat="1" applyFont="1" applyFill="1" applyBorder="1" applyProtection="1">
      <protection locked="0"/>
    </xf>
    <xf numFmtId="0" fontId="1" fillId="0" borderId="11" xfId="0" applyFont="1" applyBorder="1" applyAlignment="1">
      <alignment horizontal="center"/>
    </xf>
    <xf numFmtId="0" fontId="1" fillId="0" borderId="12" xfId="0" applyFont="1" applyBorder="1"/>
    <xf numFmtId="0" fontId="1" fillId="2" borderId="11" xfId="0" applyFont="1" applyFill="1" applyBorder="1" applyProtection="1">
      <protection locked="0"/>
    </xf>
    <xf numFmtId="165" fontId="1" fillId="7" borderId="21" xfId="0" applyNumberFormat="1" applyFont="1" applyFill="1" applyBorder="1"/>
    <xf numFmtId="165" fontId="1" fillId="7" borderId="22" xfId="0" applyNumberFormat="1" applyFont="1" applyFill="1" applyBorder="1"/>
    <xf numFmtId="165" fontId="1" fillId="7" borderId="24" xfId="0" applyNumberFormat="1" applyFont="1" applyFill="1" applyBorder="1"/>
    <xf numFmtId="0" fontId="1" fillId="0" borderId="13" xfId="0" applyFont="1" applyBorder="1"/>
    <xf numFmtId="164" fontId="1" fillId="8" borderId="73" xfId="0" applyNumberFormat="1" applyFont="1" applyFill="1" applyBorder="1"/>
    <xf numFmtId="164" fontId="1" fillId="8" borderId="38" xfId="0" applyNumberFormat="1" applyFont="1" applyFill="1" applyBorder="1"/>
    <xf numFmtId="164" fontId="1" fillId="8" borderId="74" xfId="0" applyNumberFormat="1" applyFont="1" applyFill="1" applyBorder="1"/>
    <xf numFmtId="0" fontId="1" fillId="0" borderId="15" xfId="0" applyFont="1" applyBorder="1"/>
    <xf numFmtId="0" fontId="1" fillId="0" borderId="16" xfId="0" applyFont="1" applyBorder="1"/>
    <xf numFmtId="1" fontId="1" fillId="3" borderId="8" xfId="0" applyNumberFormat="1" applyFont="1" applyFill="1" applyBorder="1" applyAlignment="1">
      <alignment vertical="top" wrapText="1"/>
    </xf>
    <xf numFmtId="1" fontId="1" fillId="3" borderId="10" xfId="0" applyNumberFormat="1" applyFont="1" applyFill="1" applyBorder="1" applyAlignment="1">
      <alignment vertical="top" wrapText="1"/>
    </xf>
    <xf numFmtId="1" fontId="1" fillId="3" borderId="11" xfId="0" applyNumberFormat="1" applyFont="1" applyFill="1" applyBorder="1" applyAlignment="1">
      <alignment vertical="top" wrapText="1"/>
    </xf>
    <xf numFmtId="0" fontId="1" fillId="0" borderId="17" xfId="0" applyFont="1" applyBorder="1"/>
    <xf numFmtId="166" fontId="1" fillId="3" borderId="19" xfId="0" applyNumberFormat="1" applyFont="1" applyFill="1" applyBorder="1"/>
    <xf numFmtId="166" fontId="1" fillId="3" borderId="20" xfId="0" applyNumberFormat="1" applyFont="1" applyFill="1" applyBorder="1"/>
    <xf numFmtId="0" fontId="1" fillId="0" borderId="21" xfId="0" applyFont="1" applyBorder="1"/>
    <xf numFmtId="0" fontId="1" fillId="0" borderId="22" xfId="0" applyFont="1" applyBorder="1"/>
    <xf numFmtId="164" fontId="1" fillId="10" borderId="23" xfId="0" applyNumberFormat="1" applyFont="1" applyFill="1" applyBorder="1" applyAlignment="1">
      <alignment vertical="top" wrapText="1"/>
    </xf>
    <xf numFmtId="164" fontId="1" fillId="10" borderId="22" xfId="0" applyNumberFormat="1" applyFont="1" applyFill="1" applyBorder="1" applyAlignment="1">
      <alignment vertical="top" wrapText="1"/>
    </xf>
    <xf numFmtId="164" fontId="1" fillId="10" borderId="24" xfId="0" applyNumberFormat="1" applyFont="1" applyFill="1" applyBorder="1" applyAlignment="1">
      <alignment vertical="top" wrapText="1"/>
    </xf>
    <xf numFmtId="0" fontId="1" fillId="0" borderId="10" xfId="0" applyFont="1" applyBorder="1"/>
    <xf numFmtId="0" fontId="1" fillId="0" borderId="23" xfId="0" applyFont="1" applyBorder="1" applyAlignment="1">
      <alignment horizontal="center"/>
    </xf>
    <xf numFmtId="0" fontId="1" fillId="0" borderId="22" xfId="0" applyFont="1" applyBorder="1" applyAlignment="1">
      <alignment horizontal="center"/>
    </xf>
    <xf numFmtId="0" fontId="1" fillId="0" borderId="24" xfId="0" applyFont="1" applyBorder="1" applyAlignment="1">
      <alignment horizontal="center"/>
    </xf>
    <xf numFmtId="0" fontId="1" fillId="0" borderId="19" xfId="0" applyFont="1" applyBorder="1"/>
    <xf numFmtId="0" fontId="1" fillId="0" borderId="25" xfId="0" applyFont="1" applyBorder="1"/>
    <xf numFmtId="165" fontId="1" fillId="0" borderId="26" xfId="0" applyNumberFormat="1" applyFont="1" applyBorder="1" applyAlignment="1">
      <alignment horizontal="center" vertical="top"/>
    </xf>
    <xf numFmtId="165" fontId="1" fillId="0" borderId="25" xfId="0" applyNumberFormat="1" applyFont="1" applyBorder="1" applyAlignment="1">
      <alignment horizontal="center" vertical="top"/>
    </xf>
    <xf numFmtId="165" fontId="1" fillId="0" borderId="20" xfId="0" applyNumberFormat="1" applyFont="1" applyBorder="1" applyAlignment="1">
      <alignment horizontal="center" vertical="top"/>
    </xf>
    <xf numFmtId="166" fontId="1" fillId="0" borderId="6" xfId="1" applyFont="1" applyFill="1" applyBorder="1" applyAlignment="1" applyProtection="1">
      <alignment horizontal="center"/>
    </xf>
    <xf numFmtId="166" fontId="1" fillId="0" borderId="7" xfId="1" applyFont="1" applyFill="1" applyBorder="1" applyAlignment="1" applyProtection="1">
      <alignment horizontal="center"/>
    </xf>
    <xf numFmtId="0" fontId="1" fillId="0" borderId="28" xfId="0" applyFont="1" applyBorder="1"/>
    <xf numFmtId="0" fontId="1" fillId="0" borderId="29" xfId="0" applyFont="1" applyBorder="1"/>
    <xf numFmtId="0" fontId="1" fillId="2" borderId="30" xfId="0" applyFont="1" applyFill="1" applyBorder="1" applyAlignment="1" applyProtection="1">
      <alignment horizontal="center"/>
      <protection locked="0"/>
    </xf>
    <xf numFmtId="0" fontId="1" fillId="2" borderId="31" xfId="0" applyFont="1" applyFill="1" applyBorder="1" applyAlignment="1" applyProtection="1">
      <alignment horizontal="center"/>
      <protection locked="0"/>
    </xf>
    <xf numFmtId="0" fontId="1" fillId="0" borderId="33" xfId="0" applyFont="1" applyBorder="1"/>
    <xf numFmtId="0" fontId="1" fillId="0" borderId="34" xfId="0" applyFont="1" applyBorder="1" applyAlignment="1">
      <alignment horizontal="center"/>
    </xf>
    <xf numFmtId="0" fontId="1" fillId="0" borderId="35" xfId="0" applyFont="1" applyBorder="1" applyAlignment="1">
      <alignment horizontal="center"/>
    </xf>
    <xf numFmtId="0" fontId="1" fillId="0" borderId="23" xfId="0" applyFont="1" applyBorder="1"/>
    <xf numFmtId="3" fontId="1" fillId="0" borderId="22" xfId="0" applyNumberFormat="1" applyFont="1" applyBorder="1" applyAlignment="1">
      <alignment horizontal="center"/>
    </xf>
    <xf numFmtId="0" fontId="1" fillId="0" borderId="36" xfId="0" applyFont="1" applyBorder="1"/>
    <xf numFmtId="9" fontId="1" fillId="0" borderId="10" xfId="3" applyFont="1" applyFill="1" applyBorder="1" applyAlignment="1" applyProtection="1">
      <alignment horizontal="center"/>
    </xf>
    <xf numFmtId="9" fontId="1" fillId="0" borderId="11" xfId="3" applyFont="1" applyFill="1" applyBorder="1" applyAlignment="1" applyProtection="1">
      <alignment horizontal="center"/>
    </xf>
    <xf numFmtId="9" fontId="1" fillId="2" borderId="36" xfId="3" applyFont="1" applyFill="1" applyBorder="1" applyAlignment="1" applyProtection="1">
      <protection locked="0"/>
    </xf>
    <xf numFmtId="1" fontId="1" fillId="0" borderId="10" xfId="0" applyNumberFormat="1" applyFont="1" applyBorder="1" applyAlignment="1">
      <alignment horizontal="center"/>
    </xf>
    <xf numFmtId="1" fontId="1" fillId="0" borderId="11" xfId="0" applyNumberFormat="1" applyFont="1" applyBorder="1" applyAlignment="1">
      <alignment horizontal="center"/>
    </xf>
    <xf numFmtId="0" fontId="1" fillId="0" borderId="26" xfId="0" applyFont="1" applyBorder="1"/>
    <xf numFmtId="0" fontId="1" fillId="0" borderId="25" xfId="0" applyFont="1" applyBorder="1" applyAlignment="1">
      <alignment horizontal="center"/>
    </xf>
    <xf numFmtId="0" fontId="1" fillId="0" borderId="20" xfId="0" applyFont="1" applyBorder="1" applyAlignment="1">
      <alignment horizontal="center"/>
    </xf>
    <xf numFmtId="0" fontId="1" fillId="0" borderId="37" xfId="0" applyFont="1" applyBorder="1"/>
    <xf numFmtId="0" fontId="1" fillId="0" borderId="27" xfId="0" applyFont="1" applyBorder="1"/>
    <xf numFmtId="1" fontId="1" fillId="0" borderId="25" xfId="0" applyNumberFormat="1" applyFont="1" applyBorder="1" applyAlignment="1">
      <alignment horizontal="center"/>
    </xf>
    <xf numFmtId="1" fontId="1" fillId="0" borderId="20" xfId="0" applyNumberFormat="1" applyFont="1" applyBorder="1" applyAlignment="1">
      <alignment horizontal="center"/>
    </xf>
    <xf numFmtId="1" fontId="1" fillId="0" borderId="0" xfId="0" applyNumberFormat="1" applyFont="1" applyAlignment="1">
      <alignment horizontal="center"/>
    </xf>
    <xf numFmtId="164" fontId="1" fillId="0" borderId="6" xfId="0" applyNumberFormat="1" applyFont="1" applyBorder="1" applyAlignment="1">
      <alignment horizontal="center"/>
    </xf>
    <xf numFmtId="164" fontId="1" fillId="0" borderId="7" xfId="0" applyNumberFormat="1" applyFont="1" applyBorder="1" applyAlignment="1">
      <alignment horizontal="center"/>
    </xf>
    <xf numFmtId="164" fontId="1" fillId="2" borderId="10" xfId="2" applyNumberFormat="1" applyFont="1" applyFill="1" applyBorder="1" applyAlignment="1" applyProtection="1">
      <alignment horizontal="center"/>
      <protection locked="0"/>
    </xf>
    <xf numFmtId="164" fontId="1" fillId="3" borderId="36" xfId="2" applyNumberFormat="1" applyFont="1" applyFill="1" applyBorder="1" applyAlignment="1">
      <alignment horizontal="center"/>
    </xf>
    <xf numFmtId="0" fontId="1" fillId="0" borderId="9" xfId="2" applyFont="1" applyBorder="1" applyAlignment="1">
      <alignment horizontal="left"/>
    </xf>
    <xf numFmtId="164" fontId="1" fillId="0" borderId="47" xfId="2" applyNumberFormat="1" applyFont="1" applyBorder="1"/>
    <xf numFmtId="0" fontId="1" fillId="0" borderId="36" xfId="2" applyFont="1" applyBorder="1"/>
    <xf numFmtId="1" fontId="1" fillId="0" borderId="10" xfId="2" applyNumberFormat="1" applyFont="1" applyBorder="1" applyAlignment="1">
      <alignment horizontal="center"/>
    </xf>
    <xf numFmtId="1" fontId="1" fillId="0" borderId="47" xfId="2" applyNumberFormat="1" applyFont="1" applyBorder="1"/>
    <xf numFmtId="164" fontId="1" fillId="0" borderId="36" xfId="2" applyNumberFormat="1" applyFont="1" applyBorder="1"/>
    <xf numFmtId="0" fontId="1" fillId="0" borderId="52" xfId="2" applyFont="1" applyBorder="1" applyAlignment="1">
      <alignment horizontal="left"/>
    </xf>
    <xf numFmtId="1" fontId="1" fillId="3" borderId="30" xfId="2" applyNumberFormat="1" applyFont="1" applyFill="1" applyBorder="1" applyAlignment="1">
      <alignment horizontal="center"/>
    </xf>
    <xf numFmtId="164" fontId="1" fillId="3" borderId="10" xfId="2" applyNumberFormat="1" applyFont="1" applyFill="1" applyBorder="1" applyAlignment="1">
      <alignment horizontal="center"/>
    </xf>
    <xf numFmtId="0" fontId="1" fillId="0" borderId="54" xfId="2" applyFont="1" applyBorder="1" applyAlignment="1">
      <alignment horizontal="left"/>
    </xf>
    <xf numFmtId="1" fontId="1" fillId="0" borderId="0" xfId="2" applyNumberFormat="1" applyFont="1"/>
    <xf numFmtId="164" fontId="1" fillId="0" borderId="0" xfId="2" applyNumberFormat="1" applyFont="1"/>
    <xf numFmtId="164" fontId="1" fillId="0" borderId="0" xfId="2" applyNumberFormat="1" applyFont="1" applyAlignment="1">
      <alignment horizontal="center"/>
    </xf>
    <xf numFmtId="0" fontId="1" fillId="0" borderId="0" xfId="2" applyFont="1" applyAlignment="1">
      <alignment horizontal="left"/>
    </xf>
    <xf numFmtId="0" fontId="0" fillId="0" borderId="0" xfId="0" applyAlignment="1">
      <alignment wrapText="1"/>
    </xf>
    <xf numFmtId="0" fontId="0" fillId="0" borderId="69" xfId="0" applyBorder="1" applyAlignment="1">
      <alignment wrapText="1"/>
    </xf>
    <xf numFmtId="0" fontId="0" fillId="0" borderId="69" xfId="0" applyBorder="1" applyAlignment="1">
      <alignment vertical="top" wrapText="1"/>
    </xf>
    <xf numFmtId="0" fontId="1" fillId="0" borderId="10" xfId="0" applyFont="1" applyBorder="1" applyAlignment="1">
      <alignment vertical="top" wrapText="1"/>
    </xf>
    <xf numFmtId="0" fontId="12" fillId="5" borderId="67" xfId="2" applyFont="1" applyFill="1" applyBorder="1" applyAlignment="1">
      <alignment horizontal="center"/>
    </xf>
    <xf numFmtId="0" fontId="12" fillId="5" borderId="70" xfId="2" applyFont="1" applyFill="1" applyBorder="1" applyAlignment="1">
      <alignment horizontal="center"/>
    </xf>
    <xf numFmtId="0" fontId="12" fillId="0" borderId="67" xfId="2" applyFont="1" applyBorder="1" applyAlignment="1">
      <alignment horizontal="center"/>
    </xf>
    <xf numFmtId="164" fontId="12" fillId="0" borderId="71" xfId="2" applyNumberFormat="1" applyFont="1" applyBorder="1" applyAlignment="1">
      <alignment horizontal="right"/>
    </xf>
  </cellXfs>
  <cellStyles count="4">
    <cellStyle name="Currency" xfId="1" builtinId="4"/>
    <cellStyle name="Normal" xfId="0" builtinId="0"/>
    <cellStyle name="Normal_C182Q W&amp;B" xfId="2" xr:uid="{00000000-0005-0000-0000-000002000000}"/>
    <cellStyle name="Percent" xfId="3" builtinId="5"/>
  </cellStyles>
  <dxfs count="0"/>
  <tableStyles count="0" defaultTableStyle="TableStyleMedium9" defaultPivotStyle="PivotStyleMedium7"/>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FDFD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739433576403894"/>
          <c:y val="7.8820364533361637E-2"/>
          <c:w val="0.68643217106360099"/>
          <c:h val="0.75864600863360576"/>
        </c:manualLayout>
      </c:layout>
      <c:scatterChart>
        <c:scatterStyle val="lineMarker"/>
        <c:varyColors val="0"/>
        <c:ser>
          <c:idx val="0"/>
          <c:order val="0"/>
          <c:spPr>
            <a:ln w="25400">
              <a:solidFill>
                <a:srgbClr val="0000FF"/>
              </a:solidFill>
              <a:prstDash val="solid"/>
            </a:ln>
          </c:spPr>
          <c:marker>
            <c:symbol val="none"/>
          </c:marker>
          <c:xVal>
            <c:numRef>
              <c:f>'N121M-C182Q'!$AA$8:$AA$12</c:f>
              <c:numCache>
                <c:formatCode>0.00"  "</c:formatCode>
                <c:ptCount val="5"/>
                <c:pt idx="0">
                  <c:v>59.5</c:v>
                </c:pt>
                <c:pt idx="1">
                  <c:v>74</c:v>
                </c:pt>
                <c:pt idx="2">
                  <c:v>116.6</c:v>
                </c:pt>
                <c:pt idx="3">
                  <c:v>143</c:v>
                </c:pt>
                <c:pt idx="4">
                  <c:v>87</c:v>
                </c:pt>
              </c:numCache>
            </c:numRef>
          </c:xVal>
          <c:yVal>
            <c:numRef>
              <c:f>'N121M-C182Q'!$AB$8:$AB$12</c:f>
              <c:numCache>
                <c:formatCode>#,##0"  "</c:formatCode>
                <c:ptCount val="5"/>
                <c:pt idx="0">
                  <c:v>1800</c:v>
                </c:pt>
                <c:pt idx="1">
                  <c:v>2250</c:v>
                </c:pt>
                <c:pt idx="2">
                  <c:v>2950</c:v>
                </c:pt>
                <c:pt idx="3">
                  <c:v>2950</c:v>
                </c:pt>
                <c:pt idx="4">
                  <c:v>1800</c:v>
                </c:pt>
              </c:numCache>
            </c:numRef>
          </c:yVal>
          <c:smooth val="0"/>
          <c:extLst>
            <c:ext xmlns:c16="http://schemas.microsoft.com/office/drawing/2014/chart" uri="{C3380CC4-5D6E-409C-BE32-E72D297353CC}">
              <c16:uniqueId val="{00000000-A4A5-1F49-AE5B-E61EB6FF8C1B}"/>
            </c:ext>
          </c:extLst>
        </c:ser>
        <c:ser>
          <c:idx val="1"/>
          <c:order val="1"/>
          <c:spPr>
            <a:ln w="12700">
              <a:solidFill>
                <a:srgbClr val="000000"/>
              </a:solidFill>
              <a:prstDash val="solid"/>
            </a:ln>
          </c:spPr>
          <c:marker>
            <c:symbol val="circle"/>
            <c:size val="5"/>
            <c:spPr>
              <a:solidFill>
                <a:srgbClr val="000000"/>
              </a:solidFill>
              <a:ln>
                <a:solidFill>
                  <a:srgbClr val="000000"/>
                </a:solidFill>
                <a:prstDash val="solid"/>
              </a:ln>
            </c:spPr>
          </c:marker>
          <c:xVal>
            <c:numRef>
              <c:f>('N121M-C182Q'!$H$22,'N121M-C182Q'!$P$21)</c:f>
              <c:numCache>
                <c:formatCode>0.0"  "</c:formatCode>
                <c:ptCount val="2"/>
                <c:pt idx="0">
                  <c:v>126.85709</c:v>
                </c:pt>
                <c:pt idx="1">
                  <c:v>114.077715</c:v>
                </c:pt>
              </c:numCache>
            </c:numRef>
          </c:xVal>
          <c:yVal>
            <c:numRef>
              <c:f>('N121M-C182Q'!$E$22,'N121M-C182Q'!$N$21)</c:f>
              <c:numCache>
                <c:formatCode>0.0"  "</c:formatCode>
                <c:ptCount val="2"/>
                <c:pt idx="0">
                  <c:v>2949.71</c:v>
                </c:pt>
                <c:pt idx="1">
                  <c:v>2683.01</c:v>
                </c:pt>
              </c:numCache>
            </c:numRef>
          </c:yVal>
          <c:smooth val="0"/>
          <c:extLst>
            <c:ext xmlns:c16="http://schemas.microsoft.com/office/drawing/2014/chart" uri="{C3380CC4-5D6E-409C-BE32-E72D297353CC}">
              <c16:uniqueId val="{00000001-A4A5-1F49-AE5B-E61EB6FF8C1B}"/>
            </c:ext>
          </c:extLst>
        </c:ser>
        <c:dLbls>
          <c:showLegendKey val="0"/>
          <c:showVal val="0"/>
          <c:showCatName val="0"/>
          <c:showSerName val="0"/>
          <c:showPercent val="0"/>
          <c:showBubbleSize val="0"/>
        </c:dLbls>
        <c:axId val="417861472"/>
        <c:axId val="1"/>
      </c:scatterChart>
      <c:valAx>
        <c:axId val="417861472"/>
        <c:scaling>
          <c:orientation val="minMax"/>
          <c:max val="145"/>
          <c:min val="55"/>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00" b="0" i="0" u="none" strike="noStrike" baseline="0">
                    <a:solidFill>
                      <a:srgbClr val="000000"/>
                    </a:solidFill>
                    <a:latin typeface="Arial"/>
                    <a:ea typeface="Arial"/>
                    <a:cs typeface="Arial"/>
                  </a:defRPr>
                </a:pPr>
                <a:r>
                  <a:rPr lang="en-US"/>
                  <a:t>Moment (Pound-Inches/1000)</a:t>
                </a:r>
              </a:p>
            </c:rich>
          </c:tx>
          <c:layout>
            <c:manualLayout>
              <c:xMode val="edge"/>
              <c:yMode val="edge"/>
              <c:x val="0.40419353068671293"/>
              <c:y val="0.91136047628192818"/>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At val="1800"/>
        <c:crossBetween val="midCat"/>
        <c:majorUnit val="10"/>
        <c:minorUnit val="5"/>
      </c:valAx>
      <c:valAx>
        <c:axId val="1"/>
        <c:scaling>
          <c:orientation val="minMax"/>
          <c:max val="3000"/>
          <c:min val="1800"/>
        </c:scaling>
        <c:delete val="0"/>
        <c:axPos val="l"/>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00" b="0" i="0" u="none" strike="noStrike" baseline="0">
                    <a:solidFill>
                      <a:srgbClr val="000000"/>
                    </a:solidFill>
                    <a:latin typeface="Arial"/>
                    <a:ea typeface="Arial"/>
                    <a:cs typeface="Arial"/>
                  </a:defRPr>
                </a:pPr>
                <a:r>
                  <a:rPr lang="en-US"/>
                  <a:t>Aircraft Weight (Pounds)</a:t>
                </a:r>
              </a:p>
            </c:rich>
          </c:tx>
          <c:layout>
            <c:manualLayout>
              <c:xMode val="edge"/>
              <c:yMode val="edge"/>
              <c:x val="9.0595078054267614E-2"/>
              <c:y val="0.24138736316497023"/>
            </c:manualLayout>
          </c:layout>
          <c:overlay val="0"/>
          <c:spPr>
            <a:noFill/>
            <a:ln w="25400">
              <a:noFill/>
            </a:ln>
          </c:spPr>
        </c:title>
        <c:numFmt formatCode="#,##0&quot;  &quot;"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17861472"/>
        <c:crossesAt val="45"/>
        <c:crossBetween val="midCat"/>
        <c:majorUnit val="200"/>
        <c:minorUnit val="50"/>
      </c:valAx>
      <c:spPr>
        <a:noFill/>
        <a:ln w="25400">
          <a:noFill/>
        </a:ln>
      </c:spPr>
    </c:plotArea>
    <c:plotVisOnly val="0"/>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Courier New"/>
          <a:ea typeface="Courier New"/>
          <a:cs typeface="Courier New"/>
        </a:defRPr>
      </a:pPr>
      <a:endParaRPr lang="en-US"/>
    </a:p>
  </c:txPr>
  <c:printSettings>
    <c:headerFooter alignWithMargins="0"/>
    <c:pageMargins b="1" l="0.75" r="0.75" t="1" header="0.51180555555555551" footer="0.51180555555555551"/>
    <c:pageSetup firstPageNumber="0"/>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127438240622382"/>
          <c:y val="0.11219911388687044"/>
          <c:w val="0.73241785900824252"/>
          <c:h val="0.69758579503575968"/>
        </c:manualLayout>
      </c:layout>
      <c:scatterChart>
        <c:scatterStyle val="lineMarker"/>
        <c:varyColors val="0"/>
        <c:ser>
          <c:idx val="0"/>
          <c:order val="0"/>
          <c:spPr>
            <a:ln w="25400">
              <a:solidFill>
                <a:srgbClr val="0000FF"/>
              </a:solidFill>
              <a:prstDash val="solid"/>
            </a:ln>
          </c:spPr>
          <c:marker>
            <c:symbol val="none"/>
          </c:marker>
          <c:xVal>
            <c:numRef>
              <c:f>'N13686-C172M '!$AB$8:$AB$12</c:f>
              <c:numCache>
                <c:formatCode>0.00"  "</c:formatCode>
                <c:ptCount val="5"/>
                <c:pt idx="0">
                  <c:v>34.700000000000003</c:v>
                </c:pt>
                <c:pt idx="1">
                  <c:v>34.700000000000003</c:v>
                </c:pt>
                <c:pt idx="2">
                  <c:v>38.260869565217391</c:v>
                </c:pt>
                <c:pt idx="3">
                  <c:v>47.4</c:v>
                </c:pt>
                <c:pt idx="4">
                  <c:v>47.4</c:v>
                </c:pt>
              </c:numCache>
            </c:numRef>
          </c:xVal>
          <c:yVal>
            <c:numRef>
              <c:f>'N13686-C172M '!$AC$8:$AC$12</c:f>
              <c:numCache>
                <c:formatCode>#,##0"  "</c:formatCode>
                <c:ptCount val="5"/>
                <c:pt idx="0">
                  <c:v>1500</c:v>
                </c:pt>
                <c:pt idx="1">
                  <c:v>1950</c:v>
                </c:pt>
                <c:pt idx="2">
                  <c:v>2300</c:v>
                </c:pt>
                <c:pt idx="3">
                  <c:v>2300</c:v>
                </c:pt>
                <c:pt idx="4">
                  <c:v>1500</c:v>
                </c:pt>
              </c:numCache>
            </c:numRef>
          </c:yVal>
          <c:smooth val="0"/>
          <c:extLst>
            <c:ext xmlns:c16="http://schemas.microsoft.com/office/drawing/2014/chart" uri="{C3380CC4-5D6E-409C-BE32-E72D297353CC}">
              <c16:uniqueId val="{00000000-D6EA-DA4C-B68E-5E1F451E0D68}"/>
            </c:ext>
          </c:extLst>
        </c:ser>
        <c:ser>
          <c:idx val="1"/>
          <c:order val="1"/>
          <c:spPr>
            <a:ln w="12700">
              <a:solidFill>
                <a:srgbClr val="000000"/>
              </a:solidFill>
              <a:prstDash val="solid"/>
            </a:ln>
          </c:spPr>
          <c:marker>
            <c:symbol val="circle"/>
            <c:size val="5"/>
            <c:spPr>
              <a:solidFill>
                <a:srgbClr val="000000"/>
              </a:solidFill>
              <a:ln>
                <a:solidFill>
                  <a:srgbClr val="000000"/>
                </a:solidFill>
                <a:prstDash val="solid"/>
              </a:ln>
            </c:spPr>
          </c:marker>
          <c:xVal>
            <c:numRef>
              <c:f>('N13686-C172M '!$G$24,'N13686-C172M '!$O$23)</c:f>
              <c:numCache>
                <c:formatCode>0.0"  "</c:formatCode>
                <c:ptCount val="2"/>
                <c:pt idx="0">
                  <c:v>43.435436754399717</c:v>
                </c:pt>
                <c:pt idx="1">
                  <c:v>43.286671243820138</c:v>
                </c:pt>
              </c:numCache>
            </c:numRef>
          </c:xVal>
          <c:yVal>
            <c:numRef>
              <c:f>('N13686-C172M '!$E$23,'N13686-C172M '!$M$22)</c:f>
              <c:numCache>
                <c:formatCode>0.0"  "</c:formatCode>
                <c:ptCount val="2"/>
                <c:pt idx="0">
                  <c:v>2297.16</c:v>
                </c:pt>
                <c:pt idx="1">
                  <c:v>2221.56</c:v>
                </c:pt>
              </c:numCache>
            </c:numRef>
          </c:yVal>
          <c:smooth val="0"/>
          <c:extLst>
            <c:ext xmlns:c16="http://schemas.microsoft.com/office/drawing/2014/chart" uri="{C3380CC4-5D6E-409C-BE32-E72D297353CC}">
              <c16:uniqueId val="{00000001-D6EA-DA4C-B68E-5E1F451E0D68}"/>
            </c:ext>
          </c:extLst>
        </c:ser>
        <c:ser>
          <c:idx val="2"/>
          <c:order val="2"/>
          <c:spPr>
            <a:ln w="25400">
              <a:solidFill>
                <a:srgbClr val="333333"/>
              </a:solidFill>
              <a:prstDash val="solid"/>
            </a:ln>
          </c:spPr>
          <c:marker>
            <c:symbol val="triangle"/>
            <c:size val="6"/>
            <c:spPr>
              <a:solidFill>
                <a:srgbClr val="333333"/>
              </a:solidFill>
              <a:ln>
                <a:solidFill>
                  <a:srgbClr val="333333"/>
                </a:solidFill>
                <a:prstDash val="solid"/>
              </a:ln>
            </c:spPr>
          </c:marker>
          <c:xVal>
            <c:numRef>
              <c:f>'N13686-C172M '!$AB$15:$AB$19</c:f>
              <c:numCache>
                <c:formatCode>0.00"  "</c:formatCode>
                <c:ptCount val="5"/>
                <c:pt idx="0">
                  <c:v>34.700000000000003</c:v>
                </c:pt>
                <c:pt idx="1">
                  <c:v>34.700000000000003</c:v>
                </c:pt>
                <c:pt idx="2">
                  <c:v>35.25</c:v>
                </c:pt>
                <c:pt idx="3">
                  <c:v>40.5</c:v>
                </c:pt>
                <c:pt idx="4">
                  <c:v>40.5</c:v>
                </c:pt>
              </c:numCache>
            </c:numRef>
          </c:xVal>
          <c:yVal>
            <c:numRef>
              <c:f>'N13686-C172M '!$AC$15:$AC$19</c:f>
              <c:numCache>
                <c:formatCode>#,##0"  "</c:formatCode>
                <c:ptCount val="5"/>
                <c:pt idx="0">
                  <c:v>1500</c:v>
                </c:pt>
                <c:pt idx="1">
                  <c:v>1950</c:v>
                </c:pt>
                <c:pt idx="2">
                  <c:v>2000</c:v>
                </c:pt>
                <c:pt idx="3">
                  <c:v>2000</c:v>
                </c:pt>
                <c:pt idx="4">
                  <c:v>1500</c:v>
                </c:pt>
              </c:numCache>
            </c:numRef>
          </c:yVal>
          <c:smooth val="0"/>
          <c:extLst>
            <c:ext xmlns:c16="http://schemas.microsoft.com/office/drawing/2014/chart" uri="{C3380CC4-5D6E-409C-BE32-E72D297353CC}">
              <c16:uniqueId val="{00000002-D6EA-DA4C-B68E-5E1F451E0D68}"/>
            </c:ext>
          </c:extLst>
        </c:ser>
        <c:dLbls>
          <c:showLegendKey val="0"/>
          <c:showVal val="0"/>
          <c:showCatName val="0"/>
          <c:showSerName val="0"/>
          <c:showPercent val="0"/>
          <c:showBubbleSize val="0"/>
        </c:dLbls>
        <c:axId val="419031568"/>
        <c:axId val="1"/>
      </c:scatterChart>
      <c:valAx>
        <c:axId val="419031568"/>
        <c:scaling>
          <c:orientation val="minMax"/>
          <c:max val="48"/>
          <c:min val="34"/>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00" b="0" i="0" u="none" strike="noStrike" baseline="0">
                    <a:solidFill>
                      <a:srgbClr val="000000"/>
                    </a:solidFill>
                    <a:latin typeface="Arial"/>
                    <a:ea typeface="Arial"/>
                    <a:cs typeface="Arial"/>
                  </a:defRPr>
                </a:pPr>
                <a:r>
                  <a:rPr lang="en-US"/>
                  <a:t>CG (Inches Aft of Datum)</a:t>
                </a:r>
              </a:p>
            </c:rich>
          </c:tx>
          <c:layout>
            <c:manualLayout>
              <c:xMode val="edge"/>
              <c:yMode val="edge"/>
              <c:x val="0.41902748998480455"/>
              <c:y val="0.90247114135004969"/>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At val="1500"/>
        <c:crossBetween val="midCat"/>
        <c:majorUnit val="2"/>
        <c:minorUnit val="1"/>
      </c:valAx>
      <c:valAx>
        <c:axId val="1"/>
        <c:scaling>
          <c:orientation val="minMax"/>
          <c:max val="2400"/>
          <c:min val="1500"/>
        </c:scaling>
        <c:delete val="0"/>
        <c:axPos val="l"/>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00" b="0" i="0" u="none" strike="noStrike" baseline="0">
                    <a:solidFill>
                      <a:srgbClr val="000000"/>
                    </a:solidFill>
                    <a:latin typeface="Arial"/>
                    <a:ea typeface="Arial"/>
                    <a:cs typeface="Arial"/>
                  </a:defRPr>
                </a:pPr>
                <a:r>
                  <a:rPr lang="en-US"/>
                  <a:t>Aircraft Weight (Pounds)</a:t>
                </a:r>
              </a:p>
            </c:rich>
          </c:tx>
          <c:layout>
            <c:manualLayout>
              <c:xMode val="edge"/>
              <c:yMode val="edge"/>
              <c:x val="5.281862135654096E-2"/>
              <c:y val="0.24391139821114594"/>
            </c:manualLayout>
          </c:layout>
          <c:overlay val="0"/>
          <c:spPr>
            <a:noFill/>
            <a:ln w="25400">
              <a:noFill/>
            </a:ln>
          </c:spPr>
        </c:title>
        <c:numFmt formatCode="#,##0&quot;  &quot;"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19031568"/>
        <c:crossesAt val="32"/>
        <c:crossBetween val="midCat"/>
        <c:majorUnit val="100"/>
        <c:minorUnit val="50"/>
      </c:valAx>
      <c:spPr>
        <a:noFill/>
        <a:ln w="25400">
          <a:noFill/>
        </a:ln>
      </c:spPr>
    </c:plotArea>
    <c:plotVisOnly val="0"/>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Courier New"/>
          <a:ea typeface="Courier New"/>
          <a:cs typeface="Courier New"/>
        </a:defRPr>
      </a:pPr>
      <a:endParaRPr lang="en-US"/>
    </a:p>
  </c:txPr>
  <c:printSettings>
    <c:headerFooter alignWithMargins="0"/>
    <c:pageMargins b="1" l="0.75" r="0.75" t="1" header="0.51180555555555551" footer="0.51180555555555551"/>
    <c:pageSetup firstPageNumber="0"/>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399449364594178"/>
          <c:y val="7.8434077102776653E-2"/>
          <c:w val="0.69074497496949716"/>
          <c:h val="0.75983012193314881"/>
        </c:manualLayout>
      </c:layout>
      <c:scatterChart>
        <c:scatterStyle val="lineMarker"/>
        <c:varyColors val="0"/>
        <c:ser>
          <c:idx val="0"/>
          <c:order val="0"/>
          <c:spPr>
            <a:ln w="25400">
              <a:solidFill>
                <a:srgbClr val="0000FF"/>
              </a:solidFill>
              <a:prstDash val="solid"/>
            </a:ln>
          </c:spPr>
          <c:marker>
            <c:symbol val="none"/>
          </c:marker>
          <c:xVal>
            <c:numRef>
              <c:f>'N4464R-C172M'!$AB$8:$AB$12</c:f>
              <c:numCache>
                <c:formatCode>0.00"  "</c:formatCode>
                <c:ptCount val="5"/>
                <c:pt idx="0">
                  <c:v>52</c:v>
                </c:pt>
                <c:pt idx="1">
                  <c:v>68</c:v>
                </c:pt>
                <c:pt idx="2">
                  <c:v>88</c:v>
                </c:pt>
                <c:pt idx="3">
                  <c:v>108</c:v>
                </c:pt>
                <c:pt idx="4">
                  <c:v>71</c:v>
                </c:pt>
              </c:numCache>
            </c:numRef>
          </c:xVal>
          <c:yVal>
            <c:numRef>
              <c:f>'N4464R-C172M'!$AC$8:$AC$12</c:f>
              <c:numCache>
                <c:formatCode>#,##0"  "</c:formatCode>
                <c:ptCount val="5"/>
                <c:pt idx="0">
                  <c:v>1500</c:v>
                </c:pt>
                <c:pt idx="1">
                  <c:v>1950</c:v>
                </c:pt>
                <c:pt idx="2">
                  <c:v>2300</c:v>
                </c:pt>
                <c:pt idx="3">
                  <c:v>2300</c:v>
                </c:pt>
                <c:pt idx="4">
                  <c:v>1500</c:v>
                </c:pt>
              </c:numCache>
            </c:numRef>
          </c:yVal>
          <c:smooth val="0"/>
          <c:extLst>
            <c:ext xmlns:c16="http://schemas.microsoft.com/office/drawing/2014/chart" uri="{C3380CC4-5D6E-409C-BE32-E72D297353CC}">
              <c16:uniqueId val="{00000000-30E3-DC4B-B1AF-F01F6CC93B38}"/>
            </c:ext>
          </c:extLst>
        </c:ser>
        <c:ser>
          <c:idx val="1"/>
          <c:order val="1"/>
          <c:spPr>
            <a:ln w="12700">
              <a:solidFill>
                <a:srgbClr val="000000"/>
              </a:solidFill>
              <a:prstDash val="solid"/>
            </a:ln>
          </c:spPr>
          <c:marker>
            <c:symbol val="circle"/>
            <c:size val="5"/>
            <c:spPr>
              <a:solidFill>
                <a:srgbClr val="000000"/>
              </a:solidFill>
              <a:ln>
                <a:solidFill>
                  <a:srgbClr val="000000"/>
                </a:solidFill>
                <a:prstDash val="solid"/>
              </a:ln>
            </c:spPr>
          </c:marker>
          <c:xVal>
            <c:numRef>
              <c:f>('N4464R-C172M'!$G$23,'N4464R-C172M'!$O$22)</c:f>
              <c:numCache>
                <c:formatCode>0.0"  "</c:formatCode>
                <c:ptCount val="2"/>
                <c:pt idx="0">
                  <c:v>105.63164999999999</c:v>
                </c:pt>
                <c:pt idx="1">
                  <c:v>99.607965789473681</c:v>
                </c:pt>
              </c:numCache>
            </c:numRef>
          </c:xVal>
          <c:yVal>
            <c:numRef>
              <c:f>('N4464R-C172M'!$E$23,'N4464R-C172M'!$M$22)</c:f>
              <c:numCache>
                <c:formatCode>0.0"  "</c:formatCode>
                <c:ptCount val="2"/>
                <c:pt idx="0">
                  <c:v>2297.98</c:v>
                </c:pt>
                <c:pt idx="1">
                  <c:v>2171.98</c:v>
                </c:pt>
              </c:numCache>
            </c:numRef>
          </c:yVal>
          <c:smooth val="0"/>
          <c:extLst>
            <c:ext xmlns:c16="http://schemas.microsoft.com/office/drawing/2014/chart" uri="{C3380CC4-5D6E-409C-BE32-E72D297353CC}">
              <c16:uniqueId val="{00000001-30E3-DC4B-B1AF-F01F6CC93B38}"/>
            </c:ext>
          </c:extLst>
        </c:ser>
        <c:ser>
          <c:idx val="2"/>
          <c:order val="2"/>
          <c:spPr>
            <a:ln w="25400">
              <a:solidFill>
                <a:srgbClr val="333333"/>
              </a:solidFill>
              <a:prstDash val="solid"/>
            </a:ln>
          </c:spPr>
          <c:marker>
            <c:symbol val="triangle"/>
            <c:size val="9"/>
            <c:spPr>
              <a:solidFill>
                <a:srgbClr val="333333"/>
              </a:solidFill>
              <a:ln>
                <a:solidFill>
                  <a:srgbClr val="333333"/>
                </a:solidFill>
                <a:prstDash val="solid"/>
              </a:ln>
            </c:spPr>
          </c:marker>
          <c:dLbls>
            <c:dLbl>
              <c:idx val="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0E3-DC4B-B1AF-F01F6CC93B38}"/>
                </c:ext>
              </c:extLst>
            </c:dLbl>
            <c:dLbl>
              <c:idx val="1"/>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0E3-DC4B-B1AF-F01F6CC93B38}"/>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'N4464R-C172M'!$AB$15:$AB$19</c:f>
              <c:numCache>
                <c:formatCode>0.00"  "</c:formatCode>
                <c:ptCount val="5"/>
                <c:pt idx="0">
                  <c:v>52</c:v>
                </c:pt>
                <c:pt idx="1">
                  <c:v>68</c:v>
                </c:pt>
                <c:pt idx="2">
                  <c:v>71</c:v>
                </c:pt>
                <c:pt idx="3">
                  <c:v>81</c:v>
                </c:pt>
                <c:pt idx="4">
                  <c:v>61</c:v>
                </c:pt>
              </c:numCache>
            </c:numRef>
          </c:xVal>
          <c:yVal>
            <c:numRef>
              <c:f>'N4464R-C172M'!$AC$15:$AC$19</c:f>
              <c:numCache>
                <c:formatCode>#,##0"  "</c:formatCode>
                <c:ptCount val="5"/>
                <c:pt idx="0">
                  <c:v>1500</c:v>
                </c:pt>
                <c:pt idx="1">
                  <c:v>1950</c:v>
                </c:pt>
                <c:pt idx="2">
                  <c:v>2000</c:v>
                </c:pt>
                <c:pt idx="3">
                  <c:v>2000</c:v>
                </c:pt>
                <c:pt idx="4">
                  <c:v>1500</c:v>
                </c:pt>
              </c:numCache>
            </c:numRef>
          </c:yVal>
          <c:smooth val="0"/>
          <c:extLst>
            <c:ext xmlns:c16="http://schemas.microsoft.com/office/drawing/2014/chart" uri="{C3380CC4-5D6E-409C-BE32-E72D297353CC}">
              <c16:uniqueId val="{00000004-30E3-DC4B-B1AF-F01F6CC93B38}"/>
            </c:ext>
          </c:extLst>
        </c:ser>
        <c:dLbls>
          <c:showLegendKey val="0"/>
          <c:showVal val="0"/>
          <c:showCatName val="0"/>
          <c:showSerName val="0"/>
          <c:showPercent val="0"/>
          <c:showBubbleSize val="0"/>
        </c:dLbls>
        <c:axId val="419139200"/>
        <c:axId val="1"/>
      </c:scatterChart>
      <c:valAx>
        <c:axId val="419139200"/>
        <c:scaling>
          <c:orientation val="minMax"/>
          <c:max val="115"/>
          <c:min val="50"/>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00" b="0" i="0" u="none" strike="noStrike" baseline="0">
                    <a:solidFill>
                      <a:srgbClr val="000000"/>
                    </a:solidFill>
                    <a:latin typeface="Arial"/>
                    <a:ea typeface="Arial"/>
                    <a:cs typeface="Arial"/>
                  </a:defRPr>
                </a:pPr>
                <a:r>
                  <a:rPr lang="en-US"/>
                  <a:t>Moment (Pound-Inches/1000)</a:t>
                </a:r>
              </a:p>
            </c:rich>
          </c:tx>
          <c:layout>
            <c:manualLayout>
              <c:xMode val="edge"/>
              <c:yMode val="edge"/>
              <c:x val="0.40551208254140647"/>
              <c:y val="0.91179611650485448"/>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At val="1500"/>
        <c:crossBetween val="midCat"/>
        <c:majorUnit val="10"/>
        <c:minorUnit val="5"/>
      </c:valAx>
      <c:valAx>
        <c:axId val="1"/>
        <c:scaling>
          <c:orientation val="minMax"/>
          <c:max val="2400"/>
          <c:min val="1500"/>
        </c:scaling>
        <c:delete val="0"/>
        <c:axPos val="l"/>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00" b="0" i="0" u="none" strike="noStrike" baseline="0">
                    <a:solidFill>
                      <a:srgbClr val="000000"/>
                    </a:solidFill>
                    <a:latin typeface="Arial"/>
                    <a:ea typeface="Arial"/>
                    <a:cs typeface="Arial"/>
                  </a:defRPr>
                </a:pPr>
                <a:r>
                  <a:rPr lang="en-US"/>
                  <a:t>Aircraft Weight (Pounds)</a:t>
                </a:r>
              </a:p>
            </c:rich>
          </c:tx>
          <c:layout>
            <c:manualLayout>
              <c:xMode val="edge"/>
              <c:yMode val="edge"/>
              <c:x val="8.9349986424110781E-2"/>
              <c:y val="0.24020411283541013"/>
            </c:manualLayout>
          </c:layout>
          <c:overlay val="0"/>
          <c:spPr>
            <a:noFill/>
            <a:ln w="25400">
              <a:noFill/>
            </a:ln>
          </c:spPr>
        </c:title>
        <c:numFmt formatCode="#,##0&quot;  &quot;"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19139200"/>
        <c:crossesAt val="50"/>
        <c:crossBetween val="midCat"/>
        <c:majorUnit val="100"/>
        <c:minorUnit val="50"/>
      </c:valAx>
      <c:spPr>
        <a:noFill/>
        <a:ln w="25400">
          <a:noFill/>
        </a:ln>
      </c:spPr>
    </c:plotArea>
    <c:plotVisOnly val="0"/>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Courier New"/>
          <a:ea typeface="Courier New"/>
          <a:cs typeface="Courier New"/>
        </a:defRPr>
      </a:pPr>
      <a:endParaRPr lang="en-US"/>
    </a:p>
  </c:txPr>
  <c:printSettings>
    <c:headerFooter alignWithMargins="0"/>
    <c:pageMargins b="1" l="0.75" r="0.75" t="1" header="0.51180555555555551" footer="0.51180555555555551"/>
    <c:pageSetup firstPageNumber="0"/>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127438240622382"/>
          <c:y val="0.11219911388687044"/>
          <c:w val="0.73241785900824252"/>
          <c:h val="0.69758579503575968"/>
        </c:manualLayout>
      </c:layout>
      <c:scatterChart>
        <c:scatterStyle val="lineMarker"/>
        <c:varyColors val="0"/>
        <c:ser>
          <c:idx val="0"/>
          <c:order val="0"/>
          <c:spPr>
            <a:ln w="25400">
              <a:solidFill>
                <a:srgbClr val="0000FF"/>
              </a:solidFill>
              <a:prstDash val="solid"/>
            </a:ln>
          </c:spPr>
          <c:marker>
            <c:symbol val="none"/>
          </c:marker>
          <c:xVal>
            <c:numRef>
              <c:f>'N4464R-C172M'!$AE$8:$AE$12</c:f>
              <c:numCache>
                <c:formatCode>0.00"  "</c:formatCode>
                <c:ptCount val="5"/>
                <c:pt idx="0">
                  <c:v>34.700000000000003</c:v>
                </c:pt>
                <c:pt idx="1">
                  <c:v>34.700000000000003</c:v>
                </c:pt>
                <c:pt idx="2">
                  <c:v>38.260869565217391</c:v>
                </c:pt>
                <c:pt idx="3">
                  <c:v>47.4</c:v>
                </c:pt>
                <c:pt idx="4">
                  <c:v>47.4</c:v>
                </c:pt>
              </c:numCache>
            </c:numRef>
          </c:xVal>
          <c:yVal>
            <c:numRef>
              <c:f>'N4464R-C172M'!$AF$8:$AF$12</c:f>
              <c:numCache>
                <c:formatCode>#,##0"  "</c:formatCode>
                <c:ptCount val="5"/>
                <c:pt idx="0">
                  <c:v>1500</c:v>
                </c:pt>
                <c:pt idx="1">
                  <c:v>1950</c:v>
                </c:pt>
                <c:pt idx="2">
                  <c:v>2300</c:v>
                </c:pt>
                <c:pt idx="3">
                  <c:v>2300</c:v>
                </c:pt>
                <c:pt idx="4">
                  <c:v>1500</c:v>
                </c:pt>
              </c:numCache>
            </c:numRef>
          </c:yVal>
          <c:smooth val="0"/>
          <c:extLst>
            <c:ext xmlns:c16="http://schemas.microsoft.com/office/drawing/2014/chart" uri="{C3380CC4-5D6E-409C-BE32-E72D297353CC}">
              <c16:uniqueId val="{00000000-7DE9-6545-B259-6C63BFCA84B8}"/>
            </c:ext>
          </c:extLst>
        </c:ser>
        <c:ser>
          <c:idx val="1"/>
          <c:order val="1"/>
          <c:spPr>
            <a:ln w="12700">
              <a:solidFill>
                <a:srgbClr val="000000"/>
              </a:solidFill>
              <a:prstDash val="solid"/>
            </a:ln>
          </c:spPr>
          <c:marker>
            <c:symbol val="circle"/>
            <c:size val="5"/>
            <c:spPr>
              <a:solidFill>
                <a:srgbClr val="000000"/>
              </a:solidFill>
              <a:ln>
                <a:solidFill>
                  <a:srgbClr val="000000"/>
                </a:solidFill>
                <a:prstDash val="solid"/>
              </a:ln>
            </c:spPr>
          </c:marker>
          <c:xVal>
            <c:numRef>
              <c:f>('N4464R-C172M'!$G$24,'N4464R-C172M'!$O$23)</c:f>
              <c:numCache>
                <c:formatCode>0.0"  "</c:formatCode>
                <c:ptCount val="2"/>
                <c:pt idx="0">
                  <c:v>45.967175519369185</c:v>
                </c:pt>
                <c:pt idx="1">
                  <c:v>45.86044336940197</c:v>
                </c:pt>
              </c:numCache>
            </c:numRef>
          </c:xVal>
          <c:yVal>
            <c:numRef>
              <c:f>('N4464R-C172M'!$E$23,'N4464R-C172M'!$M$22)</c:f>
              <c:numCache>
                <c:formatCode>0.0"  "</c:formatCode>
                <c:ptCount val="2"/>
                <c:pt idx="0">
                  <c:v>2297.98</c:v>
                </c:pt>
                <c:pt idx="1">
                  <c:v>2171.98</c:v>
                </c:pt>
              </c:numCache>
            </c:numRef>
          </c:yVal>
          <c:smooth val="0"/>
          <c:extLst>
            <c:ext xmlns:c16="http://schemas.microsoft.com/office/drawing/2014/chart" uri="{C3380CC4-5D6E-409C-BE32-E72D297353CC}">
              <c16:uniqueId val="{00000001-7DE9-6545-B259-6C63BFCA84B8}"/>
            </c:ext>
          </c:extLst>
        </c:ser>
        <c:ser>
          <c:idx val="2"/>
          <c:order val="2"/>
          <c:spPr>
            <a:ln w="25400">
              <a:solidFill>
                <a:srgbClr val="333333"/>
              </a:solidFill>
              <a:prstDash val="solid"/>
            </a:ln>
          </c:spPr>
          <c:marker>
            <c:symbol val="triangle"/>
            <c:size val="6"/>
            <c:spPr>
              <a:solidFill>
                <a:srgbClr val="333333"/>
              </a:solidFill>
              <a:ln>
                <a:solidFill>
                  <a:srgbClr val="333333"/>
                </a:solidFill>
                <a:prstDash val="solid"/>
              </a:ln>
            </c:spPr>
          </c:marker>
          <c:xVal>
            <c:numRef>
              <c:f>'N4464R-C172M'!$AE$15:$AE$19</c:f>
              <c:numCache>
                <c:formatCode>0.00"  "</c:formatCode>
                <c:ptCount val="5"/>
                <c:pt idx="0">
                  <c:v>34.700000000000003</c:v>
                </c:pt>
                <c:pt idx="1">
                  <c:v>34.700000000000003</c:v>
                </c:pt>
                <c:pt idx="2">
                  <c:v>35.25</c:v>
                </c:pt>
                <c:pt idx="3">
                  <c:v>40.5</c:v>
                </c:pt>
                <c:pt idx="4">
                  <c:v>40.5</c:v>
                </c:pt>
              </c:numCache>
            </c:numRef>
          </c:xVal>
          <c:yVal>
            <c:numRef>
              <c:f>'N4464R-C172M'!$AF$15:$AF$19</c:f>
              <c:numCache>
                <c:formatCode>#,##0"  "</c:formatCode>
                <c:ptCount val="5"/>
                <c:pt idx="0">
                  <c:v>1500</c:v>
                </c:pt>
                <c:pt idx="1">
                  <c:v>1950</c:v>
                </c:pt>
                <c:pt idx="2">
                  <c:v>2000</c:v>
                </c:pt>
                <c:pt idx="3">
                  <c:v>2000</c:v>
                </c:pt>
                <c:pt idx="4">
                  <c:v>1500</c:v>
                </c:pt>
              </c:numCache>
            </c:numRef>
          </c:yVal>
          <c:smooth val="0"/>
          <c:extLst>
            <c:ext xmlns:c16="http://schemas.microsoft.com/office/drawing/2014/chart" uri="{C3380CC4-5D6E-409C-BE32-E72D297353CC}">
              <c16:uniqueId val="{00000002-7DE9-6545-B259-6C63BFCA84B8}"/>
            </c:ext>
          </c:extLst>
        </c:ser>
        <c:dLbls>
          <c:showLegendKey val="0"/>
          <c:showVal val="0"/>
          <c:showCatName val="0"/>
          <c:showSerName val="0"/>
          <c:showPercent val="0"/>
          <c:showBubbleSize val="0"/>
        </c:dLbls>
        <c:axId val="416796560"/>
        <c:axId val="1"/>
      </c:scatterChart>
      <c:valAx>
        <c:axId val="416796560"/>
        <c:scaling>
          <c:orientation val="minMax"/>
          <c:max val="48"/>
          <c:min val="34"/>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00" b="0" i="0" u="none" strike="noStrike" baseline="0">
                    <a:solidFill>
                      <a:srgbClr val="000000"/>
                    </a:solidFill>
                    <a:latin typeface="Arial"/>
                    <a:ea typeface="Arial"/>
                    <a:cs typeface="Arial"/>
                  </a:defRPr>
                </a:pPr>
                <a:r>
                  <a:rPr lang="en-US"/>
                  <a:t>CG (Inches Aft of Datum)</a:t>
                </a:r>
              </a:p>
            </c:rich>
          </c:tx>
          <c:layout>
            <c:manualLayout>
              <c:xMode val="edge"/>
              <c:yMode val="edge"/>
              <c:x val="0.41902739270267275"/>
              <c:y val="0.90247137586062609"/>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At val="1500"/>
        <c:crossBetween val="midCat"/>
        <c:majorUnit val="2"/>
        <c:minorUnit val="1"/>
      </c:valAx>
      <c:valAx>
        <c:axId val="1"/>
        <c:scaling>
          <c:orientation val="minMax"/>
          <c:max val="2400"/>
          <c:min val="1500"/>
        </c:scaling>
        <c:delete val="0"/>
        <c:axPos val="l"/>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00" b="0" i="0" u="none" strike="noStrike" baseline="0">
                    <a:solidFill>
                      <a:srgbClr val="000000"/>
                    </a:solidFill>
                    <a:latin typeface="Arial"/>
                    <a:ea typeface="Arial"/>
                    <a:cs typeface="Arial"/>
                  </a:defRPr>
                </a:pPr>
                <a:r>
                  <a:rPr lang="en-US"/>
                  <a:t>Aircraft Weight (Pounds)</a:t>
                </a:r>
              </a:p>
            </c:rich>
          </c:tx>
          <c:layout>
            <c:manualLayout>
              <c:xMode val="edge"/>
              <c:yMode val="edge"/>
              <c:x val="5.2818564932904516E-2"/>
              <c:y val="0.24391114154208984"/>
            </c:manualLayout>
          </c:layout>
          <c:overlay val="0"/>
          <c:spPr>
            <a:noFill/>
            <a:ln w="25400">
              <a:noFill/>
            </a:ln>
          </c:spPr>
        </c:title>
        <c:numFmt formatCode="#,##0&quot;  &quot;"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16796560"/>
        <c:crossesAt val="32"/>
        <c:crossBetween val="midCat"/>
        <c:majorUnit val="100"/>
        <c:minorUnit val="50"/>
      </c:valAx>
      <c:spPr>
        <a:noFill/>
        <a:ln w="25400">
          <a:noFill/>
        </a:ln>
      </c:spPr>
    </c:plotArea>
    <c:plotVisOnly val="0"/>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Courier New"/>
          <a:ea typeface="Courier New"/>
          <a:cs typeface="Courier New"/>
        </a:defRPr>
      </a:pPr>
      <a:endParaRPr lang="en-US"/>
    </a:p>
  </c:txPr>
  <c:printSettings>
    <c:headerFooter alignWithMargins="0"/>
    <c:pageMargins b="1" l="0.75" r="0.75" t="1" header="0.51180555555555551" footer="0.51180555555555551"/>
    <c:pageSetup firstPageNumber="0"/>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399449364594178"/>
          <c:y val="7.8820364533361637E-2"/>
          <c:w val="0.69761805929755183"/>
          <c:h val="0.7290883719335951"/>
        </c:manualLayout>
      </c:layout>
      <c:scatterChart>
        <c:scatterStyle val="lineMarker"/>
        <c:varyColors val="0"/>
        <c:ser>
          <c:idx val="0"/>
          <c:order val="0"/>
          <c:spPr>
            <a:ln w="25400">
              <a:solidFill>
                <a:srgbClr val="0000FF"/>
              </a:solidFill>
              <a:prstDash val="solid"/>
            </a:ln>
          </c:spPr>
          <c:marker>
            <c:symbol val="none"/>
          </c:marker>
          <c:xVal>
            <c:numRef>
              <c:f>'N67375-C152 '!$Y$8:$Y$12</c:f>
              <c:numCache>
                <c:formatCode>0.00"  "</c:formatCode>
                <c:ptCount val="5"/>
                <c:pt idx="0">
                  <c:v>31</c:v>
                </c:pt>
                <c:pt idx="1">
                  <c:v>42</c:v>
                </c:pt>
                <c:pt idx="2">
                  <c:v>54.5</c:v>
                </c:pt>
                <c:pt idx="3">
                  <c:v>61</c:v>
                </c:pt>
                <c:pt idx="4">
                  <c:v>37</c:v>
                </c:pt>
              </c:numCache>
            </c:numRef>
          </c:xVal>
          <c:yVal>
            <c:numRef>
              <c:f>'N67375-C152 '!$Z$8:$Z$12</c:f>
              <c:numCache>
                <c:formatCode>#,##0"  "</c:formatCode>
                <c:ptCount val="5"/>
                <c:pt idx="0">
                  <c:v>1000</c:v>
                </c:pt>
                <c:pt idx="1">
                  <c:v>1350</c:v>
                </c:pt>
                <c:pt idx="2">
                  <c:v>1670</c:v>
                </c:pt>
                <c:pt idx="3">
                  <c:v>1670</c:v>
                </c:pt>
                <c:pt idx="4">
                  <c:v>1000</c:v>
                </c:pt>
              </c:numCache>
            </c:numRef>
          </c:yVal>
          <c:smooth val="0"/>
          <c:extLst>
            <c:ext xmlns:c16="http://schemas.microsoft.com/office/drawing/2014/chart" uri="{C3380CC4-5D6E-409C-BE32-E72D297353CC}">
              <c16:uniqueId val="{00000000-08FD-AD49-9F5D-13EF980853AD}"/>
            </c:ext>
          </c:extLst>
        </c:ser>
        <c:ser>
          <c:idx val="1"/>
          <c:order val="1"/>
          <c:spPr>
            <a:ln w="12700">
              <a:solidFill>
                <a:srgbClr val="000000"/>
              </a:solidFill>
              <a:prstDash val="solid"/>
            </a:ln>
          </c:spPr>
          <c:marker>
            <c:symbol val="circle"/>
            <c:size val="5"/>
            <c:spPr>
              <a:solidFill>
                <a:srgbClr val="000000"/>
              </a:solidFill>
              <a:ln>
                <a:solidFill>
                  <a:srgbClr val="000000"/>
                </a:solidFill>
                <a:prstDash val="solid"/>
              </a:ln>
            </c:spPr>
          </c:marker>
          <c:xVal>
            <c:numRef>
              <c:f>('N67375-C152 '!$G$21,'N67375-C152 '!$O$20)</c:f>
              <c:numCache>
                <c:formatCode>0.0"  "</c:formatCode>
                <c:ptCount val="2"/>
                <c:pt idx="0">
                  <c:v>56.390560816326527</c:v>
                </c:pt>
                <c:pt idx="1">
                  <c:v>52.867948571428563</c:v>
                </c:pt>
              </c:numCache>
            </c:numRef>
          </c:xVal>
          <c:yVal>
            <c:numRef>
              <c:f>('N67375-C152 '!$E$21,'N67375-C152 '!$M$20)</c:f>
              <c:numCache>
                <c:formatCode>0.0"  "</c:formatCode>
                <c:ptCount val="2"/>
                <c:pt idx="0">
                  <c:v>1669.24</c:v>
                </c:pt>
                <c:pt idx="1">
                  <c:v>1585.72</c:v>
                </c:pt>
              </c:numCache>
            </c:numRef>
          </c:yVal>
          <c:smooth val="0"/>
          <c:extLst>
            <c:ext xmlns:c16="http://schemas.microsoft.com/office/drawing/2014/chart" uri="{C3380CC4-5D6E-409C-BE32-E72D297353CC}">
              <c16:uniqueId val="{00000001-08FD-AD49-9F5D-13EF980853AD}"/>
            </c:ext>
          </c:extLst>
        </c:ser>
        <c:dLbls>
          <c:showLegendKey val="0"/>
          <c:showVal val="0"/>
          <c:showCatName val="0"/>
          <c:showSerName val="0"/>
          <c:showPercent val="0"/>
          <c:showBubbleSize val="0"/>
        </c:dLbls>
        <c:axId val="417795680"/>
        <c:axId val="1"/>
      </c:scatterChart>
      <c:valAx>
        <c:axId val="417795680"/>
        <c:scaling>
          <c:orientation val="minMax"/>
          <c:max val="65"/>
          <c:min val="30"/>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00" b="0" i="0" u="none" strike="noStrike" baseline="0">
                    <a:solidFill>
                      <a:srgbClr val="000000"/>
                    </a:solidFill>
                    <a:latin typeface="Arial"/>
                    <a:ea typeface="Arial"/>
                    <a:cs typeface="Arial"/>
                  </a:defRPr>
                </a:pPr>
                <a:r>
                  <a:rPr lang="en-US"/>
                  <a:t>Moment (Pound-Inches/1000)</a:t>
                </a:r>
              </a:p>
            </c:rich>
          </c:tx>
          <c:layout>
            <c:manualLayout>
              <c:xMode val="edge"/>
              <c:yMode val="edge"/>
              <c:x val="0.40894841162096118"/>
              <c:y val="0.90150797004033034"/>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At val="1000"/>
        <c:crossBetween val="midCat"/>
        <c:majorUnit val="5"/>
        <c:minorUnit val="1"/>
      </c:valAx>
      <c:valAx>
        <c:axId val="1"/>
        <c:scaling>
          <c:orientation val="minMax"/>
          <c:max val="1700"/>
          <c:min val="1000"/>
        </c:scaling>
        <c:delete val="0"/>
        <c:axPos val="l"/>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00" b="0" i="0" u="none" strike="noStrike" baseline="0">
                    <a:solidFill>
                      <a:srgbClr val="000000"/>
                    </a:solidFill>
                    <a:latin typeface="Arial"/>
                    <a:ea typeface="Arial"/>
                    <a:cs typeface="Arial"/>
                  </a:defRPr>
                </a:pPr>
                <a:r>
                  <a:rPr lang="en-US"/>
                  <a:t>Aircraft Weight (Pounds)</a:t>
                </a:r>
              </a:p>
            </c:rich>
          </c:tx>
          <c:layout>
            <c:manualLayout>
              <c:xMode val="edge"/>
              <c:yMode val="edge"/>
              <c:x val="8.9349986424110781E-2"/>
              <c:y val="0.2266084117534089"/>
            </c:manualLayout>
          </c:layout>
          <c:overlay val="0"/>
          <c:spPr>
            <a:noFill/>
            <a:ln w="25400">
              <a:noFill/>
            </a:ln>
          </c:spPr>
        </c:title>
        <c:numFmt formatCode="#,##0&quot;  &quot;"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17795680"/>
        <c:crossesAt val="30"/>
        <c:crossBetween val="midCat"/>
        <c:majorUnit val="100"/>
        <c:minorUnit val="50"/>
      </c:valAx>
      <c:spPr>
        <a:noFill/>
        <a:ln w="25400">
          <a:noFill/>
        </a:ln>
      </c:spPr>
    </c:plotArea>
    <c:plotVisOnly val="0"/>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Courier New"/>
          <a:ea typeface="Courier New"/>
          <a:cs typeface="Courier New"/>
        </a:defRPr>
      </a:pPr>
      <a:endParaRPr lang="en-US"/>
    </a:p>
  </c:txPr>
  <c:printSettings>
    <c:headerFooter alignWithMargins="0"/>
    <c:pageMargins b="1" l="0.75" r="0.75" t="1" header="0.51180555555555551" footer="0.51180555555555551"/>
    <c:pageSetup firstPageNumber="0"/>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5180639770439195"/>
          <c:y val="8.0404772070334543E-2"/>
          <c:w val="0.68707174230769796"/>
          <c:h val="0.75379473815938636"/>
        </c:manualLayout>
      </c:layout>
      <c:scatterChart>
        <c:scatterStyle val="lineMarker"/>
        <c:varyColors val="0"/>
        <c:ser>
          <c:idx val="0"/>
          <c:order val="0"/>
          <c:spPr>
            <a:ln w="25400">
              <a:solidFill>
                <a:srgbClr val="0000FF"/>
              </a:solidFill>
              <a:prstDash val="solid"/>
            </a:ln>
          </c:spPr>
          <c:marker>
            <c:symbol val="none"/>
          </c:marker>
          <c:xVal>
            <c:numRef>
              <c:f>'N67375-C152 '!$AB$8:$AB$12</c:f>
              <c:numCache>
                <c:formatCode>0.00"  "</c:formatCode>
                <c:ptCount val="5"/>
                <c:pt idx="0">
                  <c:v>31</c:v>
                </c:pt>
                <c:pt idx="1">
                  <c:v>31</c:v>
                </c:pt>
                <c:pt idx="2">
                  <c:v>32.634730538922156</c:v>
                </c:pt>
                <c:pt idx="3">
                  <c:v>36.5</c:v>
                </c:pt>
                <c:pt idx="4">
                  <c:v>36.5</c:v>
                </c:pt>
              </c:numCache>
            </c:numRef>
          </c:xVal>
          <c:yVal>
            <c:numRef>
              <c:f>'N67375-C152 '!$AC$8:$AC$12</c:f>
              <c:numCache>
                <c:formatCode>#,##0"  "</c:formatCode>
                <c:ptCount val="5"/>
                <c:pt idx="0">
                  <c:v>1000</c:v>
                </c:pt>
                <c:pt idx="1">
                  <c:v>1350</c:v>
                </c:pt>
                <c:pt idx="2">
                  <c:v>1670</c:v>
                </c:pt>
                <c:pt idx="3">
                  <c:v>1670</c:v>
                </c:pt>
                <c:pt idx="4">
                  <c:v>1000</c:v>
                </c:pt>
              </c:numCache>
            </c:numRef>
          </c:yVal>
          <c:smooth val="0"/>
          <c:extLst>
            <c:ext xmlns:c16="http://schemas.microsoft.com/office/drawing/2014/chart" uri="{C3380CC4-5D6E-409C-BE32-E72D297353CC}">
              <c16:uniqueId val="{00000000-9756-0549-85C6-2D65D4FAFE47}"/>
            </c:ext>
          </c:extLst>
        </c:ser>
        <c:ser>
          <c:idx val="1"/>
          <c:order val="1"/>
          <c:spPr>
            <a:ln w="12700">
              <a:solidFill>
                <a:srgbClr val="000000"/>
              </a:solidFill>
              <a:prstDash val="solid"/>
            </a:ln>
          </c:spPr>
          <c:marker>
            <c:symbol val="circle"/>
            <c:size val="5"/>
            <c:spPr>
              <a:solidFill>
                <a:srgbClr val="000000"/>
              </a:solidFill>
              <a:ln>
                <a:solidFill>
                  <a:srgbClr val="000000"/>
                </a:solidFill>
                <a:prstDash val="solid"/>
              </a:ln>
            </c:spPr>
          </c:marker>
          <c:xVal>
            <c:numRef>
              <c:f>('N67375-C152 '!$G$22,'N67375-C152 '!$O$21)</c:f>
              <c:numCache>
                <c:formatCode>0.0"  "</c:formatCode>
                <c:ptCount val="2"/>
                <c:pt idx="0">
                  <c:v>33.782176808803122</c:v>
                </c:pt>
                <c:pt idx="1">
                  <c:v>33.340027603504126</c:v>
                </c:pt>
              </c:numCache>
            </c:numRef>
          </c:xVal>
          <c:yVal>
            <c:numRef>
              <c:f>('N67375-C152 '!$E$21,'N67375-C152 '!$M$20)</c:f>
              <c:numCache>
                <c:formatCode>0.0"  "</c:formatCode>
                <c:ptCount val="2"/>
                <c:pt idx="0">
                  <c:v>1669.24</c:v>
                </c:pt>
                <c:pt idx="1">
                  <c:v>1585.72</c:v>
                </c:pt>
              </c:numCache>
            </c:numRef>
          </c:yVal>
          <c:smooth val="0"/>
          <c:extLst>
            <c:ext xmlns:c16="http://schemas.microsoft.com/office/drawing/2014/chart" uri="{C3380CC4-5D6E-409C-BE32-E72D297353CC}">
              <c16:uniqueId val="{00000001-9756-0549-85C6-2D65D4FAFE47}"/>
            </c:ext>
          </c:extLst>
        </c:ser>
        <c:dLbls>
          <c:showLegendKey val="0"/>
          <c:showVal val="0"/>
          <c:showCatName val="0"/>
          <c:showSerName val="0"/>
          <c:showPercent val="0"/>
          <c:showBubbleSize val="0"/>
        </c:dLbls>
        <c:axId val="417828432"/>
        <c:axId val="1"/>
      </c:scatterChart>
      <c:valAx>
        <c:axId val="417828432"/>
        <c:scaling>
          <c:orientation val="minMax"/>
          <c:max val="37"/>
          <c:min val="30"/>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00" b="0" i="0" u="none" strike="noStrike" baseline="0">
                    <a:solidFill>
                      <a:srgbClr val="000000"/>
                    </a:solidFill>
                    <a:latin typeface="Arial"/>
                    <a:ea typeface="Arial"/>
                    <a:cs typeface="Arial"/>
                  </a:defRPr>
                </a:pPr>
                <a:r>
                  <a:rPr lang="en-US"/>
                  <a:t>CG (Inches Aft of Datum)</a:t>
                </a:r>
              </a:p>
            </c:rich>
          </c:tx>
          <c:layout>
            <c:manualLayout>
              <c:xMode val="edge"/>
              <c:yMode val="edge"/>
              <c:x val="0.43166798844389054"/>
              <c:y val="0.90957887726720721"/>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At val="1000"/>
        <c:crossBetween val="midCat"/>
        <c:majorUnit val="1"/>
        <c:minorUnit val="0.5"/>
      </c:valAx>
      <c:valAx>
        <c:axId val="1"/>
        <c:scaling>
          <c:orientation val="minMax"/>
          <c:max val="1700"/>
          <c:min val="1000"/>
        </c:scaling>
        <c:delete val="0"/>
        <c:axPos val="l"/>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00" b="0" i="0" u="none" strike="noStrike" baseline="0">
                    <a:solidFill>
                      <a:srgbClr val="000000"/>
                    </a:solidFill>
                    <a:latin typeface="Arial"/>
                    <a:ea typeface="Arial"/>
                    <a:cs typeface="Arial"/>
                  </a:defRPr>
                </a:pPr>
                <a:r>
                  <a:rPr lang="en-US"/>
                  <a:t>Aircraft Weight (Pounds)</a:t>
                </a:r>
              </a:p>
            </c:rich>
          </c:tx>
          <c:layout>
            <c:manualLayout>
              <c:xMode val="edge"/>
              <c:yMode val="edge"/>
              <c:x val="8.9930889933722322E-2"/>
              <c:y val="0.23618913307478356"/>
            </c:manualLayout>
          </c:layout>
          <c:overlay val="0"/>
          <c:spPr>
            <a:noFill/>
            <a:ln w="25400">
              <a:noFill/>
            </a:ln>
          </c:spPr>
        </c:title>
        <c:numFmt formatCode="#,##0&quot;  &quot;"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17828432"/>
        <c:crossesAt val="30"/>
        <c:crossBetween val="midCat"/>
        <c:majorUnit val="100"/>
        <c:minorUnit val="25"/>
      </c:valAx>
      <c:spPr>
        <a:noFill/>
        <a:ln w="25400">
          <a:noFill/>
        </a:ln>
      </c:spPr>
    </c:plotArea>
    <c:plotVisOnly val="0"/>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Courier New"/>
          <a:ea typeface="Courier New"/>
          <a:cs typeface="Courier New"/>
        </a:defRPr>
      </a:pPr>
      <a:endParaRPr lang="en-US"/>
    </a:p>
  </c:txPr>
  <c:printSettings>
    <c:headerFooter alignWithMargins="0"/>
    <c:pageMargins b="1" l="0.75" r="0.75" t="1" header="0.51180555555555551" footer="0.51180555555555551"/>
    <c:pageSetup firstPageNumber="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5540363195731181"/>
          <c:y val="7.8051557486518569E-2"/>
          <c:w val="0.68347450805477816"/>
          <c:h val="0.76100268549355599"/>
        </c:manualLayout>
      </c:layout>
      <c:scatterChart>
        <c:scatterStyle val="lineMarker"/>
        <c:varyColors val="0"/>
        <c:ser>
          <c:idx val="0"/>
          <c:order val="0"/>
          <c:spPr>
            <a:ln w="25400">
              <a:solidFill>
                <a:srgbClr val="0000FF"/>
              </a:solidFill>
              <a:prstDash val="solid"/>
            </a:ln>
          </c:spPr>
          <c:marker>
            <c:symbol val="none"/>
          </c:marker>
          <c:xVal>
            <c:numRef>
              <c:f>'N121M-C182Q'!$AD$8:$AD$12</c:f>
              <c:numCache>
                <c:formatCode>0.00"  "</c:formatCode>
                <c:ptCount val="5"/>
                <c:pt idx="0">
                  <c:v>33</c:v>
                </c:pt>
                <c:pt idx="1">
                  <c:v>33</c:v>
                </c:pt>
                <c:pt idx="2">
                  <c:v>39.5</c:v>
                </c:pt>
                <c:pt idx="3">
                  <c:v>48.5</c:v>
                </c:pt>
                <c:pt idx="4">
                  <c:v>48.5</c:v>
                </c:pt>
              </c:numCache>
            </c:numRef>
          </c:xVal>
          <c:yVal>
            <c:numRef>
              <c:f>'N121M-C182Q'!$AB$8:$AB$12</c:f>
              <c:numCache>
                <c:formatCode>#,##0"  "</c:formatCode>
                <c:ptCount val="5"/>
                <c:pt idx="0">
                  <c:v>1800</c:v>
                </c:pt>
                <c:pt idx="1">
                  <c:v>2250</c:v>
                </c:pt>
                <c:pt idx="2">
                  <c:v>2950</c:v>
                </c:pt>
                <c:pt idx="3">
                  <c:v>2950</c:v>
                </c:pt>
                <c:pt idx="4">
                  <c:v>1800</c:v>
                </c:pt>
              </c:numCache>
            </c:numRef>
          </c:yVal>
          <c:smooth val="0"/>
          <c:extLst>
            <c:ext xmlns:c16="http://schemas.microsoft.com/office/drawing/2014/chart" uri="{C3380CC4-5D6E-409C-BE32-E72D297353CC}">
              <c16:uniqueId val="{00000000-2C56-994F-BD4D-23C1F16C151D}"/>
            </c:ext>
          </c:extLst>
        </c:ser>
        <c:ser>
          <c:idx val="1"/>
          <c:order val="1"/>
          <c:spPr>
            <a:ln w="12700">
              <a:solidFill>
                <a:srgbClr val="000000"/>
              </a:solidFill>
              <a:prstDash val="solid"/>
            </a:ln>
          </c:spPr>
          <c:marker>
            <c:symbol val="circle"/>
            <c:size val="5"/>
            <c:spPr>
              <a:solidFill>
                <a:srgbClr val="000000"/>
              </a:solidFill>
              <a:ln>
                <a:solidFill>
                  <a:srgbClr val="000000"/>
                </a:solidFill>
                <a:prstDash val="solid"/>
              </a:ln>
            </c:spPr>
          </c:marker>
          <c:xVal>
            <c:numRef>
              <c:f>('N121M-C182Q'!$H$23,'N121M-C182Q'!$P$22)</c:f>
              <c:numCache>
                <c:formatCode>0.0"  "</c:formatCode>
                <c:ptCount val="2"/>
                <c:pt idx="0">
                  <c:v>43.006631160351354</c:v>
                </c:pt>
                <c:pt idx="1">
                  <c:v>42.5185575156261</c:v>
                </c:pt>
              </c:numCache>
            </c:numRef>
          </c:xVal>
          <c:yVal>
            <c:numRef>
              <c:f>('N121M-C182Q'!$E$22,'N121M-C182Q'!$N$21)</c:f>
              <c:numCache>
                <c:formatCode>0.0"  "</c:formatCode>
                <c:ptCount val="2"/>
                <c:pt idx="0">
                  <c:v>2949.71</c:v>
                </c:pt>
                <c:pt idx="1">
                  <c:v>2683.01</c:v>
                </c:pt>
              </c:numCache>
            </c:numRef>
          </c:yVal>
          <c:smooth val="0"/>
          <c:extLst>
            <c:ext xmlns:c16="http://schemas.microsoft.com/office/drawing/2014/chart" uri="{C3380CC4-5D6E-409C-BE32-E72D297353CC}">
              <c16:uniqueId val="{00000001-2C56-994F-BD4D-23C1F16C151D}"/>
            </c:ext>
          </c:extLst>
        </c:ser>
        <c:dLbls>
          <c:showLegendKey val="0"/>
          <c:showVal val="0"/>
          <c:showCatName val="0"/>
          <c:showSerName val="0"/>
          <c:showPercent val="0"/>
          <c:showBubbleSize val="0"/>
        </c:dLbls>
        <c:axId val="417887312"/>
        <c:axId val="1"/>
      </c:scatterChart>
      <c:valAx>
        <c:axId val="417887312"/>
        <c:scaling>
          <c:orientation val="minMax"/>
          <c:max val="50"/>
          <c:min val="32"/>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00" b="0" i="0" u="none" strike="noStrike" baseline="0">
                    <a:solidFill>
                      <a:srgbClr val="000000"/>
                    </a:solidFill>
                    <a:latin typeface="Arial"/>
                    <a:ea typeface="Arial"/>
                    <a:cs typeface="Arial"/>
                  </a:defRPr>
                </a:pPr>
                <a:r>
                  <a:rPr lang="en-US"/>
                  <a:t>CG (Inches Aft of Datum)</a:t>
                </a:r>
              </a:p>
            </c:rich>
          </c:tx>
          <c:layout>
            <c:manualLayout>
              <c:xMode val="edge"/>
              <c:yMode val="edge"/>
              <c:x val="0.43526539398402542"/>
              <c:y val="0.912227547643501"/>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At val="1800"/>
        <c:crossBetween val="midCat"/>
        <c:majorUnit val="2"/>
        <c:minorUnit val="1"/>
      </c:valAx>
      <c:valAx>
        <c:axId val="1"/>
        <c:scaling>
          <c:orientation val="minMax"/>
          <c:max val="3000"/>
          <c:min val="1800"/>
        </c:scaling>
        <c:delete val="0"/>
        <c:axPos val="l"/>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00" b="0" i="0" u="none" strike="noStrike" baseline="0">
                    <a:solidFill>
                      <a:srgbClr val="000000"/>
                    </a:solidFill>
                    <a:latin typeface="Arial"/>
                    <a:ea typeface="Arial"/>
                    <a:cs typeface="Arial"/>
                  </a:defRPr>
                </a:pPr>
                <a:r>
                  <a:rPr lang="en-US"/>
                  <a:t>Aircraft Weight (Pounds)</a:t>
                </a:r>
              </a:p>
            </c:rich>
          </c:tx>
          <c:layout>
            <c:manualLayout>
              <c:xMode val="edge"/>
              <c:yMode val="edge"/>
              <c:x val="9.3528012235880587E-2"/>
              <c:y val="0.24391114154208984"/>
            </c:manualLayout>
          </c:layout>
          <c:overlay val="0"/>
          <c:spPr>
            <a:noFill/>
            <a:ln w="25400">
              <a:noFill/>
            </a:ln>
          </c:spPr>
        </c:title>
        <c:numFmt formatCode="#,##0&quot;  &quot;"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17887312"/>
        <c:crossesAt val="32"/>
        <c:crossBetween val="midCat"/>
        <c:majorUnit val="200"/>
        <c:minorUnit val="50"/>
      </c:valAx>
      <c:spPr>
        <a:noFill/>
        <a:ln w="25400">
          <a:noFill/>
        </a:ln>
      </c:spPr>
    </c:plotArea>
    <c:plotVisOnly val="0"/>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Courier New"/>
          <a:ea typeface="Courier New"/>
          <a:cs typeface="Courier New"/>
        </a:defRPr>
      </a:pPr>
      <a:endParaRPr lang="en-US"/>
    </a:p>
  </c:txPr>
  <c:printSettings>
    <c:headerFooter alignWithMargins="0"/>
    <c:pageMargins b="1" l="0.75" r="0.75" t="1" header="0.51180555555555551" footer="0.51180555555555551"/>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739433576403894"/>
          <c:y val="7.8820364533361637E-2"/>
          <c:w val="0.68643217106360099"/>
          <c:h val="0.75864600863360576"/>
        </c:manualLayout>
      </c:layout>
      <c:scatterChart>
        <c:scatterStyle val="lineMarker"/>
        <c:varyColors val="0"/>
        <c:ser>
          <c:idx val="0"/>
          <c:order val="0"/>
          <c:spPr>
            <a:ln w="25400">
              <a:solidFill>
                <a:srgbClr val="0000FF"/>
              </a:solidFill>
              <a:prstDash val="solid"/>
            </a:ln>
          </c:spPr>
          <c:marker>
            <c:symbol val="none"/>
          </c:marker>
          <c:xVal>
            <c:numRef>
              <c:f>'N7593S-C182Q'!$AA$8:$AA$12</c:f>
              <c:numCache>
                <c:formatCode>0.00"  "</c:formatCode>
                <c:ptCount val="5"/>
                <c:pt idx="0">
                  <c:v>59.5</c:v>
                </c:pt>
                <c:pt idx="1">
                  <c:v>74</c:v>
                </c:pt>
                <c:pt idx="2">
                  <c:v>116.6</c:v>
                </c:pt>
                <c:pt idx="3">
                  <c:v>143</c:v>
                </c:pt>
                <c:pt idx="4">
                  <c:v>87</c:v>
                </c:pt>
              </c:numCache>
            </c:numRef>
          </c:xVal>
          <c:yVal>
            <c:numRef>
              <c:f>'N7593S-C182Q'!$AB$8:$AB$12</c:f>
              <c:numCache>
                <c:formatCode>#,##0"  "</c:formatCode>
                <c:ptCount val="5"/>
                <c:pt idx="0">
                  <c:v>1800</c:v>
                </c:pt>
                <c:pt idx="1">
                  <c:v>2250</c:v>
                </c:pt>
                <c:pt idx="2">
                  <c:v>2950</c:v>
                </c:pt>
                <c:pt idx="3">
                  <c:v>2950</c:v>
                </c:pt>
                <c:pt idx="4">
                  <c:v>1800</c:v>
                </c:pt>
              </c:numCache>
            </c:numRef>
          </c:yVal>
          <c:smooth val="0"/>
          <c:extLst>
            <c:ext xmlns:c16="http://schemas.microsoft.com/office/drawing/2014/chart" uri="{C3380CC4-5D6E-409C-BE32-E72D297353CC}">
              <c16:uniqueId val="{00000000-D0A6-624C-A026-484D24935C64}"/>
            </c:ext>
          </c:extLst>
        </c:ser>
        <c:ser>
          <c:idx val="1"/>
          <c:order val="1"/>
          <c:spPr>
            <a:ln w="12700">
              <a:solidFill>
                <a:srgbClr val="000000"/>
              </a:solidFill>
              <a:prstDash val="solid"/>
            </a:ln>
          </c:spPr>
          <c:marker>
            <c:symbol val="circle"/>
            <c:size val="5"/>
            <c:spPr>
              <a:solidFill>
                <a:srgbClr val="000000"/>
              </a:solidFill>
              <a:ln>
                <a:solidFill>
                  <a:srgbClr val="000000"/>
                </a:solidFill>
                <a:prstDash val="solid"/>
              </a:ln>
            </c:spPr>
          </c:marker>
          <c:xVal>
            <c:numRef>
              <c:f>('N7593S-C182Q'!$H$22,'N7593S-C182Q'!$P$21)</c:f>
              <c:numCache>
                <c:formatCode>0.0"  "</c:formatCode>
                <c:ptCount val="2"/>
                <c:pt idx="0">
                  <c:v>129.92180000000002</c:v>
                </c:pt>
                <c:pt idx="1">
                  <c:v>115.31680000000001</c:v>
                </c:pt>
              </c:numCache>
            </c:numRef>
          </c:xVal>
          <c:yVal>
            <c:numRef>
              <c:f>('N7593S-C182Q'!$E$22,'N7593S-C182Q'!$N$21)</c:f>
              <c:numCache>
                <c:formatCode>0.0"  "</c:formatCode>
                <c:ptCount val="2"/>
                <c:pt idx="0">
                  <c:v>2949.24</c:v>
                </c:pt>
                <c:pt idx="1">
                  <c:v>2644.4399999999996</c:v>
                </c:pt>
              </c:numCache>
            </c:numRef>
          </c:yVal>
          <c:smooth val="0"/>
          <c:extLst>
            <c:ext xmlns:c16="http://schemas.microsoft.com/office/drawing/2014/chart" uri="{C3380CC4-5D6E-409C-BE32-E72D297353CC}">
              <c16:uniqueId val="{00000001-D0A6-624C-A026-484D24935C64}"/>
            </c:ext>
          </c:extLst>
        </c:ser>
        <c:dLbls>
          <c:showLegendKey val="0"/>
          <c:showVal val="0"/>
          <c:showCatName val="0"/>
          <c:showSerName val="0"/>
          <c:showPercent val="0"/>
          <c:showBubbleSize val="0"/>
        </c:dLbls>
        <c:axId val="417861472"/>
        <c:axId val="1"/>
      </c:scatterChart>
      <c:valAx>
        <c:axId val="417861472"/>
        <c:scaling>
          <c:orientation val="minMax"/>
          <c:max val="145"/>
          <c:min val="55"/>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00" b="0" i="0" u="none" strike="noStrike" baseline="0">
                    <a:solidFill>
                      <a:srgbClr val="000000"/>
                    </a:solidFill>
                    <a:latin typeface="Arial"/>
                    <a:ea typeface="Arial"/>
                    <a:cs typeface="Arial"/>
                  </a:defRPr>
                </a:pPr>
                <a:r>
                  <a:rPr lang="en-US"/>
                  <a:t>Moment (Pound-Inches/1000)</a:t>
                </a:r>
              </a:p>
            </c:rich>
          </c:tx>
          <c:layout>
            <c:manualLayout>
              <c:xMode val="edge"/>
              <c:yMode val="edge"/>
              <c:x val="0.40419353068671293"/>
              <c:y val="0.91136047628192818"/>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At val="1800"/>
        <c:crossBetween val="midCat"/>
        <c:majorUnit val="10"/>
        <c:minorUnit val="5"/>
      </c:valAx>
      <c:valAx>
        <c:axId val="1"/>
        <c:scaling>
          <c:orientation val="minMax"/>
          <c:max val="3000"/>
          <c:min val="1800"/>
        </c:scaling>
        <c:delete val="0"/>
        <c:axPos val="l"/>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00" b="0" i="0" u="none" strike="noStrike" baseline="0">
                    <a:solidFill>
                      <a:srgbClr val="000000"/>
                    </a:solidFill>
                    <a:latin typeface="Arial"/>
                    <a:ea typeface="Arial"/>
                    <a:cs typeface="Arial"/>
                  </a:defRPr>
                </a:pPr>
                <a:r>
                  <a:rPr lang="en-US"/>
                  <a:t>Aircraft Weight (Pounds)</a:t>
                </a:r>
              </a:p>
            </c:rich>
          </c:tx>
          <c:layout>
            <c:manualLayout>
              <c:xMode val="edge"/>
              <c:yMode val="edge"/>
              <c:x val="9.0595078054267614E-2"/>
              <c:y val="0.24138736316497023"/>
            </c:manualLayout>
          </c:layout>
          <c:overlay val="0"/>
          <c:spPr>
            <a:noFill/>
            <a:ln w="25400">
              <a:noFill/>
            </a:ln>
          </c:spPr>
        </c:title>
        <c:numFmt formatCode="#,##0&quot;  &quot;"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17861472"/>
        <c:crossesAt val="45"/>
        <c:crossBetween val="midCat"/>
        <c:majorUnit val="200"/>
        <c:minorUnit val="50"/>
      </c:valAx>
      <c:spPr>
        <a:noFill/>
        <a:ln w="25400">
          <a:noFill/>
        </a:ln>
      </c:spPr>
    </c:plotArea>
    <c:plotVisOnly val="0"/>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Courier New"/>
          <a:ea typeface="Courier New"/>
          <a:cs typeface="Courier New"/>
        </a:defRPr>
      </a:pPr>
      <a:endParaRPr lang="en-US"/>
    </a:p>
  </c:txPr>
  <c:printSettings>
    <c:headerFooter alignWithMargins="0"/>
    <c:pageMargins b="1" l="0.75" r="0.75" t="1" header="0.51180555555555551" footer="0.51180555555555551"/>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5540363195731181"/>
          <c:y val="7.8051557486518569E-2"/>
          <c:w val="0.68347450805477816"/>
          <c:h val="0.76100268549355599"/>
        </c:manualLayout>
      </c:layout>
      <c:scatterChart>
        <c:scatterStyle val="lineMarker"/>
        <c:varyColors val="0"/>
        <c:ser>
          <c:idx val="0"/>
          <c:order val="0"/>
          <c:spPr>
            <a:ln w="25400">
              <a:solidFill>
                <a:srgbClr val="0000FF"/>
              </a:solidFill>
              <a:prstDash val="solid"/>
            </a:ln>
          </c:spPr>
          <c:marker>
            <c:symbol val="none"/>
          </c:marker>
          <c:xVal>
            <c:numRef>
              <c:f>'N7593S-C182Q'!$AD$8:$AD$12</c:f>
              <c:numCache>
                <c:formatCode>0.00"  "</c:formatCode>
                <c:ptCount val="5"/>
                <c:pt idx="0">
                  <c:v>33</c:v>
                </c:pt>
                <c:pt idx="1">
                  <c:v>33</c:v>
                </c:pt>
                <c:pt idx="2">
                  <c:v>39.5</c:v>
                </c:pt>
                <c:pt idx="3">
                  <c:v>48.5</c:v>
                </c:pt>
                <c:pt idx="4">
                  <c:v>48.5</c:v>
                </c:pt>
              </c:numCache>
            </c:numRef>
          </c:xVal>
          <c:yVal>
            <c:numRef>
              <c:f>'N7593S-C182Q'!$AB$8:$AB$12</c:f>
              <c:numCache>
                <c:formatCode>#,##0"  "</c:formatCode>
                <c:ptCount val="5"/>
                <c:pt idx="0">
                  <c:v>1800</c:v>
                </c:pt>
                <c:pt idx="1">
                  <c:v>2250</c:v>
                </c:pt>
                <c:pt idx="2">
                  <c:v>2950</c:v>
                </c:pt>
                <c:pt idx="3">
                  <c:v>2950</c:v>
                </c:pt>
                <c:pt idx="4">
                  <c:v>1800</c:v>
                </c:pt>
              </c:numCache>
            </c:numRef>
          </c:yVal>
          <c:smooth val="0"/>
          <c:extLst>
            <c:ext xmlns:c16="http://schemas.microsoft.com/office/drawing/2014/chart" uri="{C3380CC4-5D6E-409C-BE32-E72D297353CC}">
              <c16:uniqueId val="{00000000-6A74-6342-80DC-8115CB8C3916}"/>
            </c:ext>
          </c:extLst>
        </c:ser>
        <c:ser>
          <c:idx val="1"/>
          <c:order val="1"/>
          <c:spPr>
            <a:ln w="12700">
              <a:solidFill>
                <a:srgbClr val="000000"/>
              </a:solidFill>
              <a:prstDash val="solid"/>
            </a:ln>
          </c:spPr>
          <c:marker>
            <c:symbol val="circle"/>
            <c:size val="5"/>
            <c:spPr>
              <a:solidFill>
                <a:srgbClr val="000000"/>
              </a:solidFill>
              <a:ln>
                <a:solidFill>
                  <a:srgbClr val="000000"/>
                </a:solidFill>
                <a:prstDash val="solid"/>
              </a:ln>
            </c:spPr>
          </c:marker>
          <c:xVal>
            <c:numRef>
              <c:f>('N7593S-C182Q'!$H$23,'N7593S-C182Q'!$P$22)</c:f>
              <c:numCache>
                <c:formatCode>0.0"  "</c:formatCode>
                <c:ptCount val="2"/>
                <c:pt idx="0">
                  <c:v>44.052637289606821</c:v>
                </c:pt>
                <c:pt idx="1">
                  <c:v>43.607266566834582</c:v>
                </c:pt>
              </c:numCache>
            </c:numRef>
          </c:xVal>
          <c:yVal>
            <c:numRef>
              <c:f>('N7593S-C182Q'!$E$22,'N7593S-C182Q'!$N$21)</c:f>
              <c:numCache>
                <c:formatCode>0.0"  "</c:formatCode>
                <c:ptCount val="2"/>
                <c:pt idx="0">
                  <c:v>2949.24</c:v>
                </c:pt>
                <c:pt idx="1">
                  <c:v>2644.4399999999996</c:v>
                </c:pt>
              </c:numCache>
            </c:numRef>
          </c:yVal>
          <c:smooth val="0"/>
          <c:extLst>
            <c:ext xmlns:c16="http://schemas.microsoft.com/office/drawing/2014/chart" uri="{C3380CC4-5D6E-409C-BE32-E72D297353CC}">
              <c16:uniqueId val="{00000001-6A74-6342-80DC-8115CB8C3916}"/>
            </c:ext>
          </c:extLst>
        </c:ser>
        <c:dLbls>
          <c:showLegendKey val="0"/>
          <c:showVal val="0"/>
          <c:showCatName val="0"/>
          <c:showSerName val="0"/>
          <c:showPercent val="0"/>
          <c:showBubbleSize val="0"/>
        </c:dLbls>
        <c:axId val="417887312"/>
        <c:axId val="1"/>
      </c:scatterChart>
      <c:valAx>
        <c:axId val="417887312"/>
        <c:scaling>
          <c:orientation val="minMax"/>
          <c:max val="50"/>
          <c:min val="32"/>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00" b="0" i="0" u="none" strike="noStrike" baseline="0">
                    <a:solidFill>
                      <a:srgbClr val="000000"/>
                    </a:solidFill>
                    <a:latin typeface="Arial"/>
                    <a:ea typeface="Arial"/>
                    <a:cs typeface="Arial"/>
                  </a:defRPr>
                </a:pPr>
                <a:r>
                  <a:rPr lang="en-US"/>
                  <a:t>CG (Inches Aft of Datum)</a:t>
                </a:r>
              </a:p>
            </c:rich>
          </c:tx>
          <c:layout>
            <c:manualLayout>
              <c:xMode val="edge"/>
              <c:yMode val="edge"/>
              <c:x val="0.43526539398402542"/>
              <c:y val="0.912227547643501"/>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At val="1800"/>
        <c:crossBetween val="midCat"/>
        <c:majorUnit val="2"/>
        <c:minorUnit val="1"/>
      </c:valAx>
      <c:valAx>
        <c:axId val="1"/>
        <c:scaling>
          <c:orientation val="minMax"/>
          <c:max val="3000"/>
          <c:min val="1800"/>
        </c:scaling>
        <c:delete val="0"/>
        <c:axPos val="l"/>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00" b="0" i="0" u="none" strike="noStrike" baseline="0">
                    <a:solidFill>
                      <a:srgbClr val="000000"/>
                    </a:solidFill>
                    <a:latin typeface="Arial"/>
                    <a:ea typeface="Arial"/>
                    <a:cs typeface="Arial"/>
                  </a:defRPr>
                </a:pPr>
                <a:r>
                  <a:rPr lang="en-US"/>
                  <a:t>Aircraft Weight (Pounds)</a:t>
                </a:r>
              </a:p>
            </c:rich>
          </c:tx>
          <c:layout>
            <c:manualLayout>
              <c:xMode val="edge"/>
              <c:yMode val="edge"/>
              <c:x val="9.3528012235880587E-2"/>
              <c:y val="0.24391114154208984"/>
            </c:manualLayout>
          </c:layout>
          <c:overlay val="0"/>
          <c:spPr>
            <a:noFill/>
            <a:ln w="25400">
              <a:noFill/>
            </a:ln>
          </c:spPr>
        </c:title>
        <c:numFmt formatCode="#,##0&quot;  &quot;"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17887312"/>
        <c:crossesAt val="32"/>
        <c:crossBetween val="midCat"/>
        <c:majorUnit val="200"/>
        <c:minorUnit val="50"/>
      </c:valAx>
      <c:spPr>
        <a:noFill/>
        <a:ln w="25400">
          <a:noFill/>
        </a:ln>
      </c:spPr>
    </c:plotArea>
    <c:plotVisOnly val="0"/>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Courier New"/>
          <a:ea typeface="Courier New"/>
          <a:cs typeface="Courier New"/>
        </a:defRPr>
      </a:pPr>
      <a:endParaRPr lang="en-US"/>
    </a:p>
  </c:txPr>
  <c:printSettings>
    <c:headerFooter alignWithMargins="0"/>
    <c:pageMargins b="1" l="0.75" r="0.75" t="1" header="0.51180555555555551" footer="0.51180555555555551"/>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739433576403894"/>
          <c:y val="7.8820364533361637E-2"/>
          <c:w val="0.68643217106360099"/>
          <c:h val="0.75864600863360576"/>
        </c:manualLayout>
      </c:layout>
      <c:scatterChart>
        <c:scatterStyle val="lineMarker"/>
        <c:varyColors val="0"/>
        <c:ser>
          <c:idx val="0"/>
          <c:order val="0"/>
          <c:spPr>
            <a:ln w="25400">
              <a:solidFill>
                <a:srgbClr val="0000FF"/>
              </a:solidFill>
              <a:prstDash val="solid"/>
            </a:ln>
          </c:spPr>
          <c:marker>
            <c:symbol val="none"/>
          </c:marker>
          <c:xVal>
            <c:numRef>
              <c:f>'N9989E-C182P'!$AA$8:$AA$12</c:f>
              <c:numCache>
                <c:formatCode>0.00"  "</c:formatCode>
                <c:ptCount val="5"/>
                <c:pt idx="0">
                  <c:v>59.5</c:v>
                </c:pt>
                <c:pt idx="1">
                  <c:v>74</c:v>
                </c:pt>
                <c:pt idx="2">
                  <c:v>116.6</c:v>
                </c:pt>
                <c:pt idx="3">
                  <c:v>143</c:v>
                </c:pt>
                <c:pt idx="4">
                  <c:v>87</c:v>
                </c:pt>
              </c:numCache>
            </c:numRef>
          </c:xVal>
          <c:yVal>
            <c:numRef>
              <c:f>'N9989E-C182P'!$AB$8:$AB$12</c:f>
              <c:numCache>
                <c:formatCode>#,##0"  "</c:formatCode>
                <c:ptCount val="5"/>
                <c:pt idx="0">
                  <c:v>1800</c:v>
                </c:pt>
                <c:pt idx="1">
                  <c:v>2250</c:v>
                </c:pt>
                <c:pt idx="2">
                  <c:v>2950</c:v>
                </c:pt>
                <c:pt idx="3">
                  <c:v>2950</c:v>
                </c:pt>
                <c:pt idx="4">
                  <c:v>1800</c:v>
                </c:pt>
              </c:numCache>
            </c:numRef>
          </c:yVal>
          <c:smooth val="0"/>
          <c:extLst>
            <c:ext xmlns:c16="http://schemas.microsoft.com/office/drawing/2014/chart" uri="{C3380CC4-5D6E-409C-BE32-E72D297353CC}">
              <c16:uniqueId val="{00000000-7EDF-124B-8363-00B9DEFFFC05}"/>
            </c:ext>
          </c:extLst>
        </c:ser>
        <c:ser>
          <c:idx val="1"/>
          <c:order val="1"/>
          <c:spPr>
            <a:ln w="12700">
              <a:solidFill>
                <a:srgbClr val="000000"/>
              </a:solidFill>
              <a:prstDash val="solid"/>
            </a:ln>
          </c:spPr>
          <c:marker>
            <c:symbol val="circle"/>
            <c:size val="5"/>
            <c:spPr>
              <a:solidFill>
                <a:srgbClr val="000000"/>
              </a:solidFill>
              <a:ln>
                <a:solidFill>
                  <a:srgbClr val="000000"/>
                </a:solidFill>
                <a:prstDash val="solid"/>
              </a:ln>
            </c:spPr>
          </c:marker>
          <c:xVal>
            <c:numRef>
              <c:f>('N9989E-C182P'!$H$22,'N9989E-C182P'!$P$21)</c:f>
              <c:numCache>
                <c:formatCode>0.0"  "</c:formatCode>
                <c:ptCount val="2"/>
                <c:pt idx="0">
                  <c:v>124.27025333333333</c:v>
                </c:pt>
                <c:pt idx="1">
                  <c:v>109.62291999999999</c:v>
                </c:pt>
              </c:numCache>
            </c:numRef>
          </c:xVal>
          <c:yVal>
            <c:numRef>
              <c:f>('N9989E-C182P'!$E$22,'N9989E-C182P'!$N$21)</c:f>
              <c:numCache>
                <c:formatCode>0.0"  "</c:formatCode>
                <c:ptCount val="2"/>
                <c:pt idx="0">
                  <c:v>2948.4700000000003</c:v>
                </c:pt>
                <c:pt idx="1">
                  <c:v>2643.67</c:v>
                </c:pt>
              </c:numCache>
            </c:numRef>
          </c:yVal>
          <c:smooth val="0"/>
          <c:extLst>
            <c:ext xmlns:c16="http://schemas.microsoft.com/office/drawing/2014/chart" uri="{C3380CC4-5D6E-409C-BE32-E72D297353CC}">
              <c16:uniqueId val="{00000001-7EDF-124B-8363-00B9DEFFFC05}"/>
            </c:ext>
          </c:extLst>
        </c:ser>
        <c:dLbls>
          <c:showLegendKey val="0"/>
          <c:showVal val="0"/>
          <c:showCatName val="0"/>
          <c:showSerName val="0"/>
          <c:showPercent val="0"/>
          <c:showBubbleSize val="0"/>
        </c:dLbls>
        <c:axId val="417907600"/>
        <c:axId val="1"/>
      </c:scatterChart>
      <c:valAx>
        <c:axId val="417907600"/>
        <c:scaling>
          <c:orientation val="minMax"/>
          <c:max val="145"/>
          <c:min val="55"/>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00" b="0" i="0" u="none" strike="noStrike" baseline="0">
                    <a:solidFill>
                      <a:srgbClr val="000000"/>
                    </a:solidFill>
                    <a:latin typeface="Arial"/>
                    <a:ea typeface="Arial"/>
                    <a:cs typeface="Arial"/>
                  </a:defRPr>
                </a:pPr>
                <a:r>
                  <a:rPr lang="en-US"/>
                  <a:t>Moment (Pound-Inches/1000)</a:t>
                </a:r>
              </a:p>
            </c:rich>
          </c:tx>
          <c:layout>
            <c:manualLayout>
              <c:xMode val="edge"/>
              <c:yMode val="edge"/>
              <c:x val="0.40419353068671293"/>
              <c:y val="0.91136009218359904"/>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At val="1800"/>
        <c:crossBetween val="midCat"/>
        <c:majorUnit val="10"/>
        <c:minorUnit val="5"/>
      </c:valAx>
      <c:valAx>
        <c:axId val="1"/>
        <c:scaling>
          <c:orientation val="minMax"/>
          <c:max val="3000"/>
          <c:min val="1800"/>
        </c:scaling>
        <c:delete val="0"/>
        <c:axPos val="l"/>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00" b="0" i="0" u="none" strike="noStrike" baseline="0">
                    <a:solidFill>
                      <a:srgbClr val="000000"/>
                    </a:solidFill>
                    <a:latin typeface="Arial"/>
                    <a:ea typeface="Arial"/>
                    <a:cs typeface="Arial"/>
                  </a:defRPr>
                </a:pPr>
                <a:r>
                  <a:rPr lang="en-US"/>
                  <a:t>Aircraft Weight (Pounds)</a:t>
                </a:r>
              </a:p>
            </c:rich>
          </c:tx>
          <c:layout>
            <c:manualLayout>
              <c:xMode val="edge"/>
              <c:yMode val="edge"/>
              <c:x val="9.0595078054267614E-2"/>
              <c:y val="0.2413877472632994"/>
            </c:manualLayout>
          </c:layout>
          <c:overlay val="0"/>
          <c:spPr>
            <a:noFill/>
            <a:ln w="25400">
              <a:noFill/>
            </a:ln>
          </c:spPr>
        </c:title>
        <c:numFmt formatCode="#,##0&quot;  &quot;"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17907600"/>
        <c:crossesAt val="45"/>
        <c:crossBetween val="midCat"/>
        <c:majorUnit val="200"/>
        <c:minorUnit val="50"/>
      </c:valAx>
      <c:spPr>
        <a:noFill/>
        <a:ln w="25400">
          <a:noFill/>
        </a:ln>
      </c:spPr>
    </c:plotArea>
    <c:plotVisOnly val="0"/>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Courier New"/>
          <a:ea typeface="Courier New"/>
          <a:cs typeface="Courier New"/>
        </a:defRPr>
      </a:pPr>
      <a:endParaRPr lang="en-US"/>
    </a:p>
  </c:txPr>
  <c:printSettings>
    <c:headerFooter alignWithMargins="0"/>
    <c:pageMargins b="1" l="0.75" r="0.75" t="1" header="0.51180555555555551" footer="0.51180555555555551"/>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5540363195731181"/>
          <c:y val="7.8051557486518569E-2"/>
          <c:w val="0.68347450805477816"/>
          <c:h val="0.76100268549355599"/>
        </c:manualLayout>
      </c:layout>
      <c:scatterChart>
        <c:scatterStyle val="lineMarker"/>
        <c:varyColors val="0"/>
        <c:ser>
          <c:idx val="0"/>
          <c:order val="0"/>
          <c:spPr>
            <a:ln w="25400">
              <a:solidFill>
                <a:srgbClr val="0000FF"/>
              </a:solidFill>
              <a:prstDash val="solid"/>
            </a:ln>
          </c:spPr>
          <c:marker>
            <c:symbol val="none"/>
          </c:marker>
          <c:xVal>
            <c:numRef>
              <c:f>'N9989E-C182P'!$AD$8:$AD$12</c:f>
              <c:numCache>
                <c:formatCode>0.00"  "</c:formatCode>
                <c:ptCount val="5"/>
                <c:pt idx="0">
                  <c:v>33</c:v>
                </c:pt>
                <c:pt idx="1">
                  <c:v>33</c:v>
                </c:pt>
                <c:pt idx="2">
                  <c:v>39.5</c:v>
                </c:pt>
                <c:pt idx="3">
                  <c:v>48.5</c:v>
                </c:pt>
                <c:pt idx="4">
                  <c:v>48.5</c:v>
                </c:pt>
              </c:numCache>
            </c:numRef>
          </c:xVal>
          <c:yVal>
            <c:numRef>
              <c:f>'N9989E-C182P'!$AB$8:$AB$12</c:f>
              <c:numCache>
                <c:formatCode>#,##0"  "</c:formatCode>
                <c:ptCount val="5"/>
                <c:pt idx="0">
                  <c:v>1800</c:v>
                </c:pt>
                <c:pt idx="1">
                  <c:v>2250</c:v>
                </c:pt>
                <c:pt idx="2">
                  <c:v>2950</c:v>
                </c:pt>
                <c:pt idx="3">
                  <c:v>2950</c:v>
                </c:pt>
                <c:pt idx="4">
                  <c:v>1800</c:v>
                </c:pt>
              </c:numCache>
            </c:numRef>
          </c:yVal>
          <c:smooth val="0"/>
          <c:extLst>
            <c:ext xmlns:c16="http://schemas.microsoft.com/office/drawing/2014/chart" uri="{C3380CC4-5D6E-409C-BE32-E72D297353CC}">
              <c16:uniqueId val="{00000000-C131-AF48-B855-5C6353D7BCB6}"/>
            </c:ext>
          </c:extLst>
        </c:ser>
        <c:ser>
          <c:idx val="1"/>
          <c:order val="1"/>
          <c:spPr>
            <a:ln w="12700">
              <a:solidFill>
                <a:srgbClr val="000000"/>
              </a:solidFill>
              <a:prstDash val="solid"/>
            </a:ln>
          </c:spPr>
          <c:marker>
            <c:symbol val="circle"/>
            <c:size val="5"/>
            <c:spPr>
              <a:solidFill>
                <a:srgbClr val="000000"/>
              </a:solidFill>
              <a:ln>
                <a:solidFill>
                  <a:srgbClr val="000000"/>
                </a:solidFill>
                <a:prstDash val="solid"/>
              </a:ln>
            </c:spPr>
          </c:marker>
          <c:xVal>
            <c:numRef>
              <c:f>('N9989E-C182P'!$H$23,'N9989E-C182P'!$P$22)</c:f>
              <c:numCache>
                <c:formatCode>0.0"  "</c:formatCode>
                <c:ptCount val="2"/>
                <c:pt idx="0">
                  <c:v>42.147369087470217</c:v>
                </c:pt>
                <c:pt idx="1">
                  <c:v>41.466189047800974</c:v>
                </c:pt>
              </c:numCache>
            </c:numRef>
          </c:xVal>
          <c:yVal>
            <c:numRef>
              <c:f>('N9989E-C182P'!$E$22,'N9989E-C182P'!$N$21)</c:f>
              <c:numCache>
                <c:formatCode>0.0"  "</c:formatCode>
                <c:ptCount val="2"/>
                <c:pt idx="0">
                  <c:v>2948.4700000000003</c:v>
                </c:pt>
                <c:pt idx="1">
                  <c:v>2643.67</c:v>
                </c:pt>
              </c:numCache>
            </c:numRef>
          </c:yVal>
          <c:smooth val="0"/>
          <c:extLst>
            <c:ext xmlns:c16="http://schemas.microsoft.com/office/drawing/2014/chart" uri="{C3380CC4-5D6E-409C-BE32-E72D297353CC}">
              <c16:uniqueId val="{00000001-C131-AF48-B855-5C6353D7BCB6}"/>
            </c:ext>
          </c:extLst>
        </c:ser>
        <c:dLbls>
          <c:showLegendKey val="0"/>
          <c:showVal val="0"/>
          <c:showCatName val="0"/>
          <c:showSerName val="0"/>
          <c:showPercent val="0"/>
          <c:showBubbleSize val="0"/>
        </c:dLbls>
        <c:axId val="417939312"/>
        <c:axId val="1"/>
      </c:scatterChart>
      <c:valAx>
        <c:axId val="417939312"/>
        <c:scaling>
          <c:orientation val="minMax"/>
          <c:max val="50"/>
          <c:min val="32"/>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00" b="0" i="0" u="none" strike="noStrike" baseline="0">
                    <a:solidFill>
                      <a:srgbClr val="000000"/>
                    </a:solidFill>
                    <a:latin typeface="Arial"/>
                    <a:ea typeface="Arial"/>
                    <a:cs typeface="Arial"/>
                  </a:defRPr>
                </a:pPr>
                <a:r>
                  <a:rPr lang="en-US"/>
                  <a:t>CG (Inches Aft of Datum)</a:t>
                </a:r>
              </a:p>
            </c:rich>
          </c:tx>
          <c:layout>
            <c:manualLayout>
              <c:xMode val="edge"/>
              <c:yMode val="edge"/>
              <c:x val="0.43526539398402542"/>
              <c:y val="0.91222716725626685"/>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At val="1800"/>
        <c:crossBetween val="midCat"/>
        <c:majorUnit val="2"/>
        <c:minorUnit val="1"/>
      </c:valAx>
      <c:valAx>
        <c:axId val="1"/>
        <c:scaling>
          <c:orientation val="minMax"/>
          <c:max val="3000"/>
          <c:min val="1800"/>
        </c:scaling>
        <c:delete val="0"/>
        <c:axPos val="l"/>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00" b="0" i="0" u="none" strike="noStrike" baseline="0">
                    <a:solidFill>
                      <a:srgbClr val="000000"/>
                    </a:solidFill>
                    <a:latin typeface="Arial"/>
                    <a:ea typeface="Arial"/>
                    <a:cs typeface="Arial"/>
                  </a:defRPr>
                </a:pPr>
                <a:r>
                  <a:rPr lang="en-US"/>
                  <a:t>Aircraft Weight (Pounds)</a:t>
                </a:r>
              </a:p>
            </c:rich>
          </c:tx>
          <c:layout>
            <c:manualLayout>
              <c:xMode val="edge"/>
              <c:yMode val="edge"/>
              <c:x val="9.3528012235880587E-2"/>
              <c:y val="0.24391152192932405"/>
            </c:manualLayout>
          </c:layout>
          <c:overlay val="0"/>
          <c:spPr>
            <a:noFill/>
            <a:ln w="25400">
              <a:noFill/>
            </a:ln>
          </c:spPr>
        </c:title>
        <c:numFmt formatCode="#,##0&quot;  &quot;"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17939312"/>
        <c:crossesAt val="32"/>
        <c:crossBetween val="midCat"/>
        <c:majorUnit val="200"/>
        <c:minorUnit val="50"/>
      </c:valAx>
      <c:spPr>
        <a:noFill/>
        <a:ln w="25400">
          <a:noFill/>
        </a:ln>
      </c:spPr>
    </c:plotArea>
    <c:plotVisOnly val="0"/>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Courier New"/>
          <a:ea typeface="Courier New"/>
          <a:cs typeface="Courier New"/>
        </a:defRPr>
      </a:pPr>
      <a:endParaRPr lang="en-US"/>
    </a:p>
  </c:txPr>
  <c:printSettings>
    <c:headerFooter alignWithMargins="0"/>
    <c:pageMargins b="1" l="0.75" r="0.75" t="1" header="0.51180555555555551" footer="0.51180555555555551"/>
    <c:pageSetup firstPageNumber="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399449364594206"/>
          <c:y val="7.8434077102776598E-2"/>
          <c:w val="0.69074497496949727"/>
          <c:h val="0.75983012193314903"/>
        </c:manualLayout>
      </c:layout>
      <c:scatterChart>
        <c:scatterStyle val="lineMarker"/>
        <c:varyColors val="0"/>
        <c:ser>
          <c:idx val="0"/>
          <c:order val="0"/>
          <c:spPr>
            <a:ln w="25400">
              <a:solidFill>
                <a:srgbClr val="0000FF"/>
              </a:solidFill>
              <a:prstDash val="solid"/>
            </a:ln>
          </c:spPr>
          <c:marker>
            <c:symbol val="none"/>
          </c:marker>
          <c:xVal>
            <c:numRef>
              <c:f>'N1293F-C172N'!$Y$8:$Y$12</c:f>
              <c:numCache>
                <c:formatCode>0.00"  "</c:formatCode>
                <c:ptCount val="5"/>
                <c:pt idx="0">
                  <c:v>52</c:v>
                </c:pt>
                <c:pt idx="1">
                  <c:v>67</c:v>
                </c:pt>
                <c:pt idx="2">
                  <c:v>104</c:v>
                </c:pt>
                <c:pt idx="3">
                  <c:v>120</c:v>
                </c:pt>
                <c:pt idx="4">
                  <c:v>71</c:v>
                </c:pt>
              </c:numCache>
            </c:numRef>
          </c:xVal>
          <c:yVal>
            <c:numRef>
              <c:f>'N1293F-C172N'!$Z$8:$Z$12</c:f>
              <c:numCache>
                <c:formatCode>#,##0"  "</c:formatCode>
                <c:ptCount val="5"/>
                <c:pt idx="0">
                  <c:v>1500</c:v>
                </c:pt>
                <c:pt idx="1">
                  <c:v>1950</c:v>
                </c:pt>
                <c:pt idx="2">
                  <c:v>2550</c:v>
                </c:pt>
                <c:pt idx="3">
                  <c:v>2550</c:v>
                </c:pt>
                <c:pt idx="4">
                  <c:v>1500</c:v>
                </c:pt>
              </c:numCache>
            </c:numRef>
          </c:yVal>
          <c:smooth val="0"/>
          <c:extLst>
            <c:ext xmlns:c16="http://schemas.microsoft.com/office/drawing/2014/chart" uri="{C3380CC4-5D6E-409C-BE32-E72D297353CC}">
              <c16:uniqueId val="{00000000-7CCB-3346-9B79-9095E563DF83}"/>
            </c:ext>
          </c:extLst>
        </c:ser>
        <c:ser>
          <c:idx val="1"/>
          <c:order val="1"/>
          <c:spPr>
            <a:ln w="12700">
              <a:solidFill>
                <a:srgbClr val="000000"/>
              </a:solidFill>
              <a:prstDash val="solid"/>
            </a:ln>
          </c:spPr>
          <c:marker>
            <c:symbol val="circle"/>
            <c:size val="5"/>
            <c:spPr>
              <a:solidFill>
                <a:srgbClr val="000000"/>
              </a:solidFill>
              <a:ln>
                <a:solidFill>
                  <a:srgbClr val="000000"/>
                </a:solidFill>
                <a:prstDash val="solid"/>
              </a:ln>
            </c:spPr>
          </c:marker>
          <c:xVal>
            <c:numRef>
              <c:f>('N1293F-C172N'!$G$23,'N1293F-C172N'!$O$22)</c:f>
              <c:numCache>
                <c:formatCode>0.0"  "</c:formatCode>
                <c:ptCount val="2"/>
                <c:pt idx="0">
                  <c:v>114.03214</c:v>
                </c:pt>
                <c:pt idx="1">
                  <c:v>105.32392</c:v>
                </c:pt>
              </c:numCache>
            </c:numRef>
          </c:xVal>
          <c:yVal>
            <c:numRef>
              <c:f>('N1293F-C172N'!$E$23,'N1293F-C172N'!$M$22)</c:f>
              <c:numCache>
                <c:formatCode>0.0"  "</c:formatCode>
                <c:ptCount val="2"/>
                <c:pt idx="0">
                  <c:v>2549.9699999999998</c:v>
                </c:pt>
                <c:pt idx="1">
                  <c:v>2368.1699999999996</c:v>
                </c:pt>
              </c:numCache>
            </c:numRef>
          </c:yVal>
          <c:smooth val="0"/>
          <c:extLst>
            <c:ext xmlns:c16="http://schemas.microsoft.com/office/drawing/2014/chart" uri="{C3380CC4-5D6E-409C-BE32-E72D297353CC}">
              <c16:uniqueId val="{00000001-7CCB-3346-9B79-9095E563DF83}"/>
            </c:ext>
          </c:extLst>
        </c:ser>
        <c:ser>
          <c:idx val="2"/>
          <c:order val="2"/>
          <c:spPr>
            <a:ln w="12700">
              <a:solidFill>
                <a:srgbClr val="666699"/>
              </a:solidFill>
              <a:prstDash val="solid"/>
            </a:ln>
          </c:spPr>
          <c:marker>
            <c:symbol val="none"/>
          </c:marker>
          <c:xVal>
            <c:numRef>
              <c:f>'N1293F-C172N'!$Y$15:$Y$19</c:f>
              <c:numCache>
                <c:formatCode>0.00"  "</c:formatCode>
                <c:ptCount val="5"/>
                <c:pt idx="0">
                  <c:v>52</c:v>
                </c:pt>
                <c:pt idx="1">
                  <c:v>67</c:v>
                </c:pt>
                <c:pt idx="2">
                  <c:v>70</c:v>
                </c:pt>
                <c:pt idx="3">
                  <c:v>81</c:v>
                </c:pt>
                <c:pt idx="4">
                  <c:v>61</c:v>
                </c:pt>
              </c:numCache>
            </c:numRef>
          </c:xVal>
          <c:yVal>
            <c:numRef>
              <c:f>'N1293F-C172N'!$Z$15:$Z$19</c:f>
              <c:numCache>
                <c:formatCode>#,##0"  "</c:formatCode>
                <c:ptCount val="5"/>
                <c:pt idx="0">
                  <c:v>1500</c:v>
                </c:pt>
                <c:pt idx="1">
                  <c:v>1950</c:v>
                </c:pt>
                <c:pt idx="2">
                  <c:v>2000</c:v>
                </c:pt>
                <c:pt idx="3">
                  <c:v>2000</c:v>
                </c:pt>
                <c:pt idx="4">
                  <c:v>1500</c:v>
                </c:pt>
              </c:numCache>
            </c:numRef>
          </c:yVal>
          <c:smooth val="0"/>
          <c:extLst>
            <c:ext xmlns:c16="http://schemas.microsoft.com/office/drawing/2014/chart" uri="{C3380CC4-5D6E-409C-BE32-E72D297353CC}">
              <c16:uniqueId val="{00000002-7CCB-3346-9B79-9095E563DF83}"/>
            </c:ext>
          </c:extLst>
        </c:ser>
        <c:dLbls>
          <c:showLegendKey val="0"/>
          <c:showVal val="0"/>
          <c:showCatName val="0"/>
          <c:showSerName val="0"/>
          <c:showPercent val="0"/>
          <c:showBubbleSize val="0"/>
        </c:dLbls>
        <c:axId val="414634672"/>
        <c:axId val="1"/>
      </c:scatterChart>
      <c:valAx>
        <c:axId val="414634672"/>
        <c:scaling>
          <c:orientation val="minMax"/>
          <c:max val="125"/>
          <c:min val="50"/>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00" b="0" i="0" u="none" strike="noStrike" baseline="0">
                    <a:solidFill>
                      <a:srgbClr val="000000"/>
                    </a:solidFill>
                    <a:latin typeface="Arial"/>
                    <a:ea typeface="Arial"/>
                    <a:cs typeface="Arial"/>
                  </a:defRPr>
                </a:pPr>
                <a:r>
                  <a:rPr lang="en-US"/>
                  <a:t>Moment (Pound-Inches/1000)</a:t>
                </a:r>
              </a:p>
            </c:rich>
          </c:tx>
          <c:layout>
            <c:manualLayout>
              <c:xMode val="edge"/>
              <c:yMode val="edge"/>
              <c:x val="0.40551208068169564"/>
              <c:y val="0.91179589620262991"/>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At val="1500"/>
        <c:crossBetween val="midCat"/>
        <c:majorUnit val="10"/>
        <c:minorUnit val="5"/>
      </c:valAx>
      <c:valAx>
        <c:axId val="1"/>
        <c:scaling>
          <c:orientation val="minMax"/>
          <c:max val="2600"/>
          <c:min val="1500"/>
        </c:scaling>
        <c:delete val="0"/>
        <c:axPos val="l"/>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00" b="0" i="0" u="none" strike="noStrike" baseline="0">
                    <a:solidFill>
                      <a:srgbClr val="000000"/>
                    </a:solidFill>
                    <a:latin typeface="Arial"/>
                    <a:ea typeface="Arial"/>
                    <a:cs typeface="Arial"/>
                  </a:defRPr>
                </a:pPr>
                <a:r>
                  <a:rPr lang="en-US"/>
                  <a:t>Aircraft Weight (Pounds)</a:t>
                </a:r>
              </a:p>
            </c:rich>
          </c:tx>
          <c:layout>
            <c:manualLayout>
              <c:xMode val="edge"/>
              <c:yMode val="edge"/>
              <c:x val="8.9350124042713835E-2"/>
              <c:y val="0.24020441410340948"/>
            </c:manualLayout>
          </c:layout>
          <c:overlay val="0"/>
          <c:spPr>
            <a:noFill/>
            <a:ln w="25400">
              <a:noFill/>
            </a:ln>
          </c:spPr>
        </c:title>
        <c:numFmt formatCode="#,##0&quot;  &quot;"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14634672"/>
        <c:crossesAt val="50"/>
        <c:crossBetween val="midCat"/>
        <c:majorUnit val="100"/>
        <c:minorUnit val="50"/>
      </c:valAx>
      <c:spPr>
        <a:noFill/>
        <a:ln w="25400">
          <a:noFill/>
        </a:ln>
      </c:spPr>
    </c:plotArea>
    <c:plotVisOnly val="0"/>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Courier New"/>
          <a:ea typeface="Courier New"/>
          <a:cs typeface="Courier New"/>
        </a:defRPr>
      </a:pPr>
      <a:endParaRPr lang="en-US"/>
    </a:p>
  </c:txPr>
  <c:printSettings>
    <c:headerFooter alignWithMargins="0"/>
    <c:pageMargins b="0.75000000000000011" l="0.70000000000000007" r="0.70000000000000007" t="0.75000000000000011" header="0.51180555555555607" footer="0.51180555555555607"/>
    <c:pageSetup firstPageNumber="0"/>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127438240622406"/>
          <c:y val="0.11219911388687002"/>
          <c:w val="0.73241785900824197"/>
          <c:h val="0.69758579503576001"/>
        </c:manualLayout>
      </c:layout>
      <c:scatterChart>
        <c:scatterStyle val="lineMarker"/>
        <c:varyColors val="0"/>
        <c:ser>
          <c:idx val="0"/>
          <c:order val="0"/>
          <c:spPr>
            <a:ln w="25400">
              <a:solidFill>
                <a:srgbClr val="0000FF"/>
              </a:solidFill>
              <a:prstDash val="solid"/>
            </a:ln>
          </c:spPr>
          <c:marker>
            <c:symbol val="none"/>
          </c:marker>
          <c:xVal>
            <c:numRef>
              <c:f>'N1293F-C172N'!$AB$8:$AB$12</c:f>
              <c:numCache>
                <c:formatCode>0.00"  "</c:formatCode>
                <c:ptCount val="5"/>
                <c:pt idx="0">
                  <c:v>35</c:v>
                </c:pt>
                <c:pt idx="1">
                  <c:v>35</c:v>
                </c:pt>
                <c:pt idx="2">
                  <c:v>41</c:v>
                </c:pt>
                <c:pt idx="3">
                  <c:v>47.3</c:v>
                </c:pt>
                <c:pt idx="4">
                  <c:v>47.3</c:v>
                </c:pt>
              </c:numCache>
            </c:numRef>
          </c:xVal>
          <c:yVal>
            <c:numRef>
              <c:f>'N1293F-C172N'!$AC$8:$AC$12</c:f>
              <c:numCache>
                <c:formatCode>#,##0"  "</c:formatCode>
                <c:ptCount val="5"/>
                <c:pt idx="0">
                  <c:v>1500</c:v>
                </c:pt>
                <c:pt idx="1">
                  <c:v>1950</c:v>
                </c:pt>
                <c:pt idx="2">
                  <c:v>2550</c:v>
                </c:pt>
                <c:pt idx="3">
                  <c:v>2550</c:v>
                </c:pt>
                <c:pt idx="4">
                  <c:v>1500</c:v>
                </c:pt>
              </c:numCache>
            </c:numRef>
          </c:yVal>
          <c:smooth val="0"/>
          <c:extLst>
            <c:ext xmlns:c16="http://schemas.microsoft.com/office/drawing/2014/chart" uri="{C3380CC4-5D6E-409C-BE32-E72D297353CC}">
              <c16:uniqueId val="{00000000-34EF-3D40-92CD-42D217C24BE7}"/>
            </c:ext>
          </c:extLst>
        </c:ser>
        <c:ser>
          <c:idx val="1"/>
          <c:order val="1"/>
          <c:spPr>
            <a:ln w="12700">
              <a:solidFill>
                <a:srgbClr val="000000"/>
              </a:solidFill>
              <a:prstDash val="solid"/>
            </a:ln>
          </c:spPr>
          <c:marker>
            <c:symbol val="circle"/>
            <c:size val="5"/>
            <c:spPr>
              <a:solidFill>
                <a:srgbClr val="000000"/>
              </a:solidFill>
              <a:ln>
                <a:solidFill>
                  <a:srgbClr val="000000"/>
                </a:solidFill>
                <a:prstDash val="solid"/>
              </a:ln>
            </c:spPr>
          </c:marker>
          <c:xVal>
            <c:numRef>
              <c:f>('N1293F-C172N'!$G$24,'N1293F-C172N'!$O$23)</c:f>
              <c:numCache>
                <c:formatCode>0.0"  "</c:formatCode>
                <c:ptCount val="2"/>
                <c:pt idx="0">
                  <c:v>44.719012380537812</c:v>
                </c:pt>
                <c:pt idx="1">
                  <c:v>44.474813885827459</c:v>
                </c:pt>
              </c:numCache>
            </c:numRef>
          </c:xVal>
          <c:yVal>
            <c:numRef>
              <c:f>('N1293F-C172N'!$E$23,'N1293F-C172N'!$M$22)</c:f>
              <c:numCache>
                <c:formatCode>0.0"  "</c:formatCode>
                <c:ptCount val="2"/>
                <c:pt idx="0">
                  <c:v>2549.9699999999998</c:v>
                </c:pt>
                <c:pt idx="1">
                  <c:v>2368.1699999999996</c:v>
                </c:pt>
              </c:numCache>
            </c:numRef>
          </c:yVal>
          <c:smooth val="0"/>
          <c:extLst>
            <c:ext xmlns:c16="http://schemas.microsoft.com/office/drawing/2014/chart" uri="{C3380CC4-5D6E-409C-BE32-E72D297353CC}">
              <c16:uniqueId val="{00000001-34EF-3D40-92CD-42D217C24BE7}"/>
            </c:ext>
          </c:extLst>
        </c:ser>
        <c:ser>
          <c:idx val="2"/>
          <c:order val="2"/>
          <c:spPr>
            <a:ln w="12700">
              <a:solidFill>
                <a:srgbClr val="666699"/>
              </a:solidFill>
              <a:prstDash val="solid"/>
            </a:ln>
          </c:spPr>
          <c:marker>
            <c:symbol val="triangle"/>
            <c:size val="6"/>
            <c:spPr>
              <a:noFill/>
              <a:ln w="0">
                <a:noFill/>
                <a:prstDash val="solid"/>
                <a:headEnd w="sm" len="sm"/>
                <a:tailEnd w="sm" len="sm"/>
              </a:ln>
            </c:spPr>
          </c:marker>
          <c:xVal>
            <c:numRef>
              <c:f>'N1293F-C172N'!$AB$15:$AB$19</c:f>
              <c:numCache>
                <c:formatCode>0.00"  "</c:formatCode>
                <c:ptCount val="5"/>
                <c:pt idx="0">
                  <c:v>35</c:v>
                </c:pt>
                <c:pt idx="1">
                  <c:v>35</c:v>
                </c:pt>
                <c:pt idx="2">
                  <c:v>35.5</c:v>
                </c:pt>
                <c:pt idx="3">
                  <c:v>40.5</c:v>
                </c:pt>
                <c:pt idx="4">
                  <c:v>40.5</c:v>
                </c:pt>
              </c:numCache>
            </c:numRef>
          </c:xVal>
          <c:yVal>
            <c:numRef>
              <c:f>'N1293F-C172N'!$AC$15:$AC$19</c:f>
              <c:numCache>
                <c:formatCode>#,##0"  "</c:formatCode>
                <c:ptCount val="5"/>
                <c:pt idx="0">
                  <c:v>1500</c:v>
                </c:pt>
                <c:pt idx="1">
                  <c:v>1950</c:v>
                </c:pt>
                <c:pt idx="2">
                  <c:v>2000</c:v>
                </c:pt>
                <c:pt idx="3">
                  <c:v>2000</c:v>
                </c:pt>
                <c:pt idx="4">
                  <c:v>1500</c:v>
                </c:pt>
              </c:numCache>
            </c:numRef>
          </c:yVal>
          <c:smooth val="0"/>
          <c:extLst>
            <c:ext xmlns:c16="http://schemas.microsoft.com/office/drawing/2014/chart" uri="{C3380CC4-5D6E-409C-BE32-E72D297353CC}">
              <c16:uniqueId val="{00000002-34EF-3D40-92CD-42D217C24BE7}"/>
            </c:ext>
          </c:extLst>
        </c:ser>
        <c:dLbls>
          <c:showLegendKey val="0"/>
          <c:showVal val="0"/>
          <c:showCatName val="0"/>
          <c:showSerName val="0"/>
          <c:showPercent val="0"/>
          <c:showBubbleSize val="0"/>
        </c:dLbls>
        <c:axId val="446730912"/>
        <c:axId val="1"/>
      </c:scatterChart>
      <c:valAx>
        <c:axId val="446730912"/>
        <c:scaling>
          <c:orientation val="minMax"/>
          <c:max val="48"/>
          <c:min val="34"/>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00" b="0" i="0" u="none" strike="noStrike" baseline="0">
                    <a:solidFill>
                      <a:srgbClr val="000000"/>
                    </a:solidFill>
                    <a:latin typeface="Arial"/>
                    <a:ea typeface="Arial"/>
                    <a:cs typeface="Arial"/>
                  </a:defRPr>
                </a:pPr>
                <a:r>
                  <a:rPr lang="en-US"/>
                  <a:t>CG (Inches Aft of Datum)</a:t>
                </a:r>
              </a:p>
            </c:rich>
          </c:tx>
          <c:layout>
            <c:manualLayout>
              <c:xMode val="edge"/>
              <c:yMode val="edge"/>
              <c:x val="0.41902748998480455"/>
              <c:y val="0.90247105141269102"/>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At val="1500"/>
        <c:crossBetween val="midCat"/>
        <c:majorUnit val="2"/>
        <c:minorUnit val="1"/>
      </c:valAx>
      <c:valAx>
        <c:axId val="1"/>
        <c:scaling>
          <c:orientation val="minMax"/>
          <c:max val="2600"/>
          <c:min val="1500"/>
        </c:scaling>
        <c:delete val="0"/>
        <c:axPos val="l"/>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00" b="0" i="0" u="none" strike="noStrike" baseline="0">
                    <a:solidFill>
                      <a:srgbClr val="000000"/>
                    </a:solidFill>
                    <a:latin typeface="Arial"/>
                    <a:ea typeface="Arial"/>
                    <a:cs typeface="Arial"/>
                  </a:defRPr>
                </a:pPr>
                <a:r>
                  <a:rPr lang="en-US"/>
                  <a:t>Aircraft Weight (Pounds)</a:t>
                </a:r>
              </a:p>
            </c:rich>
          </c:tx>
          <c:layout>
            <c:manualLayout>
              <c:xMode val="edge"/>
              <c:yMode val="edge"/>
              <c:x val="5.281862135654096E-2"/>
              <c:y val="0.24391153311718389"/>
            </c:manualLayout>
          </c:layout>
          <c:overlay val="0"/>
          <c:spPr>
            <a:noFill/>
            <a:ln w="25400">
              <a:noFill/>
            </a:ln>
          </c:spPr>
        </c:title>
        <c:numFmt formatCode="#,##0&quot;  &quot;"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46730912"/>
        <c:crossesAt val="32"/>
        <c:crossBetween val="midCat"/>
        <c:majorUnit val="100"/>
        <c:minorUnit val="50"/>
      </c:valAx>
      <c:spPr>
        <a:noFill/>
        <a:ln w="25400">
          <a:noFill/>
        </a:ln>
      </c:spPr>
    </c:plotArea>
    <c:plotVisOnly val="0"/>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Courier New"/>
          <a:ea typeface="Courier New"/>
          <a:cs typeface="Courier New"/>
        </a:defRPr>
      </a:pPr>
      <a:endParaRPr lang="en-US"/>
    </a:p>
  </c:txPr>
  <c:printSettings>
    <c:headerFooter alignWithMargins="0"/>
    <c:pageMargins b="0.75000000000000011" l="0.70000000000000007" r="0.70000000000000007" t="0.75000000000000011" header="0.51180555555555607" footer="0.51180555555555607"/>
    <c:pageSetup firstPageNumber="0"/>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399449364594178"/>
          <c:y val="7.8434077102776653E-2"/>
          <c:w val="0.69074497496949716"/>
          <c:h val="0.75983012193314881"/>
        </c:manualLayout>
      </c:layout>
      <c:scatterChart>
        <c:scatterStyle val="lineMarker"/>
        <c:varyColors val="0"/>
        <c:ser>
          <c:idx val="0"/>
          <c:order val="0"/>
          <c:spPr>
            <a:ln w="25400">
              <a:solidFill>
                <a:srgbClr val="0000FF"/>
              </a:solidFill>
              <a:prstDash val="solid"/>
            </a:ln>
          </c:spPr>
          <c:marker>
            <c:symbol val="none"/>
          </c:marker>
          <c:xVal>
            <c:numRef>
              <c:f>'N13686-C172M '!$Y$8:$Y$12</c:f>
              <c:numCache>
                <c:formatCode>0.00"  "</c:formatCode>
                <c:ptCount val="5"/>
                <c:pt idx="0">
                  <c:v>52</c:v>
                </c:pt>
                <c:pt idx="1">
                  <c:v>68</c:v>
                </c:pt>
                <c:pt idx="2">
                  <c:v>88</c:v>
                </c:pt>
                <c:pt idx="3">
                  <c:v>108</c:v>
                </c:pt>
                <c:pt idx="4">
                  <c:v>71</c:v>
                </c:pt>
              </c:numCache>
            </c:numRef>
          </c:xVal>
          <c:yVal>
            <c:numRef>
              <c:f>'N13686-C172M '!$Z$8:$Z$12</c:f>
              <c:numCache>
                <c:formatCode>#,##0"  "</c:formatCode>
                <c:ptCount val="5"/>
                <c:pt idx="0">
                  <c:v>1500</c:v>
                </c:pt>
                <c:pt idx="1">
                  <c:v>1950</c:v>
                </c:pt>
                <c:pt idx="2">
                  <c:v>2300</c:v>
                </c:pt>
                <c:pt idx="3">
                  <c:v>2300</c:v>
                </c:pt>
                <c:pt idx="4">
                  <c:v>1500</c:v>
                </c:pt>
              </c:numCache>
            </c:numRef>
          </c:yVal>
          <c:smooth val="0"/>
          <c:extLst>
            <c:ext xmlns:c16="http://schemas.microsoft.com/office/drawing/2014/chart" uri="{C3380CC4-5D6E-409C-BE32-E72D297353CC}">
              <c16:uniqueId val="{00000000-B9F6-6A4C-B89D-71F0B079A55E}"/>
            </c:ext>
          </c:extLst>
        </c:ser>
        <c:ser>
          <c:idx val="1"/>
          <c:order val="1"/>
          <c:spPr>
            <a:ln w="12700">
              <a:solidFill>
                <a:srgbClr val="000000"/>
              </a:solidFill>
              <a:prstDash val="solid"/>
            </a:ln>
          </c:spPr>
          <c:marker>
            <c:symbol val="circle"/>
            <c:size val="5"/>
            <c:spPr>
              <a:solidFill>
                <a:srgbClr val="000000"/>
              </a:solidFill>
              <a:ln>
                <a:solidFill>
                  <a:srgbClr val="000000"/>
                </a:solidFill>
                <a:prstDash val="solid"/>
              </a:ln>
            </c:spPr>
          </c:marker>
          <c:xVal>
            <c:numRef>
              <c:f>('N13686-C172M '!$G$23,'N13686-C172M '!$O$22)</c:f>
              <c:numCache>
                <c:formatCode>0.0"  "</c:formatCode>
                <c:ptCount val="2"/>
                <c:pt idx="0">
                  <c:v>99.778147894736847</c:v>
                </c:pt>
                <c:pt idx="1">
                  <c:v>96.16393736842106</c:v>
                </c:pt>
              </c:numCache>
            </c:numRef>
          </c:xVal>
          <c:yVal>
            <c:numRef>
              <c:f>('N13686-C172M '!$E$23,'N13686-C172M '!$M$22)</c:f>
              <c:numCache>
                <c:formatCode>0.0"  "</c:formatCode>
                <c:ptCount val="2"/>
                <c:pt idx="0">
                  <c:v>2297.16</c:v>
                </c:pt>
                <c:pt idx="1">
                  <c:v>2221.56</c:v>
                </c:pt>
              </c:numCache>
            </c:numRef>
          </c:yVal>
          <c:smooth val="0"/>
          <c:extLst>
            <c:ext xmlns:c16="http://schemas.microsoft.com/office/drawing/2014/chart" uri="{C3380CC4-5D6E-409C-BE32-E72D297353CC}">
              <c16:uniqueId val="{00000001-B9F6-6A4C-B89D-71F0B079A55E}"/>
            </c:ext>
          </c:extLst>
        </c:ser>
        <c:ser>
          <c:idx val="2"/>
          <c:order val="2"/>
          <c:spPr>
            <a:ln w="25400">
              <a:solidFill>
                <a:srgbClr val="333333"/>
              </a:solidFill>
              <a:prstDash val="solid"/>
            </a:ln>
          </c:spPr>
          <c:marker>
            <c:symbol val="triangle"/>
            <c:size val="9"/>
            <c:spPr>
              <a:solidFill>
                <a:srgbClr val="333333"/>
              </a:solidFill>
              <a:ln>
                <a:solidFill>
                  <a:srgbClr val="333333"/>
                </a:solidFill>
                <a:prstDash val="solid"/>
              </a:ln>
            </c:spPr>
          </c:marker>
          <c:dLbls>
            <c:dLbl>
              <c:idx val="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9F6-6A4C-B89D-71F0B079A55E}"/>
                </c:ext>
              </c:extLst>
            </c:dLbl>
            <c:dLbl>
              <c:idx val="1"/>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9F6-6A4C-B89D-71F0B079A55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'N13686-C172M '!$Y$15:$Y$19</c:f>
              <c:numCache>
                <c:formatCode>0.00"  "</c:formatCode>
                <c:ptCount val="5"/>
                <c:pt idx="0">
                  <c:v>52</c:v>
                </c:pt>
                <c:pt idx="1">
                  <c:v>68</c:v>
                </c:pt>
                <c:pt idx="2">
                  <c:v>71</c:v>
                </c:pt>
                <c:pt idx="3">
                  <c:v>81</c:v>
                </c:pt>
                <c:pt idx="4">
                  <c:v>61</c:v>
                </c:pt>
              </c:numCache>
            </c:numRef>
          </c:xVal>
          <c:yVal>
            <c:numRef>
              <c:f>'N13686-C172M '!$Z$15:$Z$19</c:f>
              <c:numCache>
                <c:formatCode>#,##0"  "</c:formatCode>
                <c:ptCount val="5"/>
                <c:pt idx="0">
                  <c:v>1500</c:v>
                </c:pt>
                <c:pt idx="1">
                  <c:v>1950</c:v>
                </c:pt>
                <c:pt idx="2">
                  <c:v>2000</c:v>
                </c:pt>
                <c:pt idx="3">
                  <c:v>2000</c:v>
                </c:pt>
                <c:pt idx="4">
                  <c:v>1500</c:v>
                </c:pt>
              </c:numCache>
            </c:numRef>
          </c:yVal>
          <c:smooth val="0"/>
          <c:extLst>
            <c:ext xmlns:c16="http://schemas.microsoft.com/office/drawing/2014/chart" uri="{C3380CC4-5D6E-409C-BE32-E72D297353CC}">
              <c16:uniqueId val="{00000004-B9F6-6A4C-B89D-71F0B079A55E}"/>
            </c:ext>
          </c:extLst>
        </c:ser>
        <c:dLbls>
          <c:showLegendKey val="0"/>
          <c:showVal val="0"/>
          <c:showCatName val="0"/>
          <c:showSerName val="0"/>
          <c:showPercent val="0"/>
          <c:showBubbleSize val="0"/>
        </c:dLbls>
        <c:axId val="418985552"/>
        <c:axId val="1"/>
      </c:scatterChart>
      <c:valAx>
        <c:axId val="418985552"/>
        <c:scaling>
          <c:orientation val="minMax"/>
          <c:max val="115"/>
          <c:min val="50"/>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00" b="0" i="0" u="none" strike="noStrike" baseline="0">
                    <a:solidFill>
                      <a:srgbClr val="000000"/>
                    </a:solidFill>
                    <a:latin typeface="Arial"/>
                    <a:ea typeface="Arial"/>
                    <a:cs typeface="Arial"/>
                  </a:defRPr>
                </a:pPr>
                <a:r>
                  <a:rPr lang="en-US"/>
                  <a:t>Moment (Pound-Inches/1000)</a:t>
                </a:r>
              </a:p>
            </c:rich>
          </c:tx>
          <c:layout>
            <c:manualLayout>
              <c:xMode val="edge"/>
              <c:yMode val="edge"/>
              <c:x val="0.40551208254140647"/>
              <c:y val="0.91179604378720958"/>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At val="1500"/>
        <c:crossBetween val="midCat"/>
        <c:majorUnit val="10"/>
        <c:minorUnit val="5"/>
      </c:valAx>
      <c:valAx>
        <c:axId val="1"/>
        <c:scaling>
          <c:orientation val="minMax"/>
          <c:max val="2400"/>
          <c:min val="1500"/>
        </c:scaling>
        <c:delete val="0"/>
        <c:axPos val="l"/>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00" b="0" i="0" u="none" strike="noStrike" baseline="0">
                    <a:solidFill>
                      <a:srgbClr val="000000"/>
                    </a:solidFill>
                    <a:latin typeface="Arial"/>
                    <a:ea typeface="Arial"/>
                    <a:cs typeface="Arial"/>
                  </a:defRPr>
                </a:pPr>
                <a:r>
                  <a:rPr lang="en-US"/>
                  <a:t>Aircraft Weight (Pounds)</a:t>
                </a:r>
              </a:p>
            </c:rich>
          </c:tx>
          <c:layout>
            <c:manualLayout>
              <c:xMode val="edge"/>
              <c:yMode val="edge"/>
              <c:x val="8.9349986424110781E-2"/>
              <c:y val="0.24020434031111965"/>
            </c:manualLayout>
          </c:layout>
          <c:overlay val="0"/>
          <c:spPr>
            <a:noFill/>
            <a:ln w="25400">
              <a:noFill/>
            </a:ln>
          </c:spPr>
        </c:title>
        <c:numFmt formatCode="#,##0&quot;  &quot;"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18985552"/>
        <c:crossesAt val="50"/>
        <c:crossBetween val="midCat"/>
        <c:majorUnit val="100"/>
        <c:minorUnit val="50"/>
      </c:valAx>
      <c:spPr>
        <a:noFill/>
        <a:ln w="25400">
          <a:noFill/>
        </a:ln>
      </c:spPr>
    </c:plotArea>
    <c:plotVisOnly val="0"/>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Courier New"/>
          <a:ea typeface="Courier New"/>
          <a:cs typeface="Courier New"/>
        </a:defRPr>
      </a:pPr>
      <a:endParaRPr lang="en-US"/>
    </a:p>
  </c:txPr>
  <c:printSettings>
    <c:headerFooter alignWithMargins="0"/>
    <c:pageMargins b="1" l="0.75" r="0.75" t="1" header="0.51180555555555551" footer="0.51180555555555551"/>
    <c:pageSetup firstPageNumber="0"/>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63500</xdr:colOff>
      <xdr:row>24</xdr:row>
      <xdr:rowOff>25400</xdr:rowOff>
    </xdr:from>
    <xdr:to>
      <xdr:col>8</xdr:col>
      <xdr:colOff>38100</xdr:colOff>
      <xdr:row>42</xdr:row>
      <xdr:rowOff>88900</xdr:rowOff>
    </xdr:to>
    <xdr:graphicFrame macro="">
      <xdr:nvGraphicFramePr>
        <xdr:cNvPr id="2" name="Chart 1">
          <a:extLst>
            <a:ext uri="{FF2B5EF4-FFF2-40B4-BE49-F238E27FC236}">
              <a16:creationId xmlns:a16="http://schemas.microsoft.com/office/drawing/2014/main" id="{A3F615B9-C5AE-544E-8F08-34E238A11E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368300</xdr:colOff>
      <xdr:row>23</xdr:row>
      <xdr:rowOff>114300</xdr:rowOff>
    </xdr:from>
    <xdr:to>
      <xdr:col>16</xdr:col>
      <xdr:colOff>38100</xdr:colOff>
      <xdr:row>42</xdr:row>
      <xdr:rowOff>63500</xdr:rowOff>
    </xdr:to>
    <xdr:graphicFrame macro="">
      <xdr:nvGraphicFramePr>
        <xdr:cNvPr id="3" name="Chart 2">
          <a:extLst>
            <a:ext uri="{FF2B5EF4-FFF2-40B4-BE49-F238E27FC236}">
              <a16:creationId xmlns:a16="http://schemas.microsoft.com/office/drawing/2014/main" id="{B53948A5-DE26-9947-ABAC-6762BBF788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596900</xdr:colOff>
      <xdr:row>24</xdr:row>
      <xdr:rowOff>114300</xdr:rowOff>
    </xdr:from>
    <xdr:to>
      <xdr:col>8</xdr:col>
      <xdr:colOff>12700</xdr:colOff>
      <xdr:row>43</xdr:row>
      <xdr:rowOff>50800</xdr:rowOff>
    </xdr:to>
    <xdr:graphicFrame macro="">
      <xdr:nvGraphicFramePr>
        <xdr:cNvPr id="6179" name="Chart 1">
          <a:extLst>
            <a:ext uri="{FF2B5EF4-FFF2-40B4-BE49-F238E27FC236}">
              <a16:creationId xmlns:a16="http://schemas.microsoft.com/office/drawing/2014/main" id="{966445DA-BA84-614F-853A-E1D52A1B47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241300</xdr:colOff>
      <xdr:row>24</xdr:row>
      <xdr:rowOff>101600</xdr:rowOff>
    </xdr:from>
    <xdr:to>
      <xdr:col>14</xdr:col>
      <xdr:colOff>495300</xdr:colOff>
      <xdr:row>43</xdr:row>
      <xdr:rowOff>50800</xdr:rowOff>
    </xdr:to>
    <xdr:graphicFrame macro="">
      <xdr:nvGraphicFramePr>
        <xdr:cNvPr id="6180" name="Chart 2">
          <a:extLst>
            <a:ext uri="{FF2B5EF4-FFF2-40B4-BE49-F238E27FC236}">
              <a16:creationId xmlns:a16="http://schemas.microsoft.com/office/drawing/2014/main" id="{70B6559F-3E6E-6644-AC10-41B50752F0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0.23132</cdr:x>
      <cdr:y>0.81713</cdr:y>
    </cdr:from>
    <cdr:to>
      <cdr:x>0.25028</cdr:x>
      <cdr:y>0.88896</cdr:y>
    </cdr:to>
    <cdr:sp macro="" textlink="">
      <cdr:nvSpPr>
        <cdr:cNvPr id="10241" name="Text 1"/>
        <cdr:cNvSpPr txBox="1">
          <a:spLocks xmlns:a="http://schemas.openxmlformats.org/drawingml/2006/main" noChangeArrowheads="1"/>
        </cdr:cNvSpPr>
      </cdr:nvSpPr>
      <cdr:spPr bwMode="auto">
        <a:xfrm xmlns:a="http://schemas.openxmlformats.org/drawingml/2006/main">
          <a:off x="897496" y="2146141"/>
          <a:ext cx="73038" cy="180137"/>
        </a:xfrm>
        <a:prstGeom xmlns:a="http://schemas.openxmlformats.org/drawingml/2006/main" prst="rect">
          <a:avLst/>
        </a:prstGeom>
        <a:solidFill xmlns:a="http://schemas.openxmlformats.org/drawingml/2006/main">
          <a:srgbClr val="FFFFFF"/>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cdr:spPr>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0.23132</cdr:x>
      <cdr:y>0.81713</cdr:y>
    </cdr:from>
    <cdr:to>
      <cdr:x>0.25028</cdr:x>
      <cdr:y>0.88896</cdr:y>
    </cdr:to>
    <cdr:sp macro="" textlink="">
      <cdr:nvSpPr>
        <cdr:cNvPr id="10242" name="Text 2"/>
        <cdr:cNvSpPr txBox="1">
          <a:spLocks xmlns:a="http://schemas.openxmlformats.org/drawingml/2006/main" noChangeArrowheads="1"/>
        </cdr:cNvSpPr>
      </cdr:nvSpPr>
      <cdr:spPr bwMode="auto">
        <a:xfrm xmlns:a="http://schemas.openxmlformats.org/drawingml/2006/main">
          <a:off x="897496" y="2146141"/>
          <a:ext cx="73038" cy="180137"/>
        </a:xfrm>
        <a:prstGeom xmlns:a="http://schemas.openxmlformats.org/drawingml/2006/main" prst="rect">
          <a:avLst/>
        </a:prstGeom>
        <a:solidFill xmlns:a="http://schemas.openxmlformats.org/drawingml/2006/main">
          <a:srgbClr val="FFFFFF"/>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cdr:spPr>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0.23132</cdr:x>
      <cdr:y>0.81713</cdr:y>
    </cdr:from>
    <cdr:to>
      <cdr:x>0.25028</cdr:x>
      <cdr:y>0.88896</cdr:y>
    </cdr:to>
    <cdr:sp macro="" textlink="">
      <cdr:nvSpPr>
        <cdr:cNvPr id="10243" name="Text 3"/>
        <cdr:cNvSpPr txBox="1">
          <a:spLocks xmlns:a="http://schemas.openxmlformats.org/drawingml/2006/main" noChangeArrowheads="1"/>
        </cdr:cNvSpPr>
      </cdr:nvSpPr>
      <cdr:spPr bwMode="auto">
        <a:xfrm xmlns:a="http://schemas.openxmlformats.org/drawingml/2006/main">
          <a:off x="897496" y="2146141"/>
          <a:ext cx="73038" cy="180137"/>
        </a:xfrm>
        <a:prstGeom xmlns:a="http://schemas.openxmlformats.org/drawingml/2006/main" prst="rect">
          <a:avLst/>
        </a:prstGeom>
        <a:solidFill xmlns:a="http://schemas.openxmlformats.org/drawingml/2006/main">
          <a:srgbClr val="FFFFFF"/>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cdr:spPr>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0.23878</cdr:x>
      <cdr:y>0.83312</cdr:y>
    </cdr:from>
    <cdr:to>
      <cdr:x>0.2438</cdr:x>
      <cdr:y>0.89291</cdr:y>
    </cdr:to>
    <cdr:sp macro="" textlink="">
      <cdr:nvSpPr>
        <cdr:cNvPr id="10244" name="Text Box 4"/>
        <cdr:cNvSpPr txBox="1">
          <a:spLocks xmlns:a="http://schemas.openxmlformats.org/drawingml/2006/main" noChangeArrowheads="1"/>
        </cdr:cNvSpPr>
      </cdr:nvSpPr>
      <cdr:spPr bwMode="auto">
        <a:xfrm xmlns:a="http://schemas.openxmlformats.org/drawingml/2006/main">
          <a:off x="881451" y="2180775"/>
          <a:ext cx="18531"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a14:hiddenLine>
          </a:ex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en-US"/>
        </a:p>
      </cdr:txBody>
    </cdr:sp>
  </cdr:relSizeAnchor>
  <cdr:relSizeAnchor xmlns:cdr="http://schemas.openxmlformats.org/drawingml/2006/chartDrawing">
    <cdr:from>
      <cdr:x>0.23878</cdr:x>
      <cdr:y>0.83312</cdr:y>
    </cdr:from>
    <cdr:to>
      <cdr:x>0.2438</cdr:x>
      <cdr:y>0.89291</cdr:y>
    </cdr:to>
    <cdr:sp macro="" textlink="">
      <cdr:nvSpPr>
        <cdr:cNvPr id="10245" name="Text Box 5"/>
        <cdr:cNvSpPr txBox="1">
          <a:spLocks xmlns:a="http://schemas.openxmlformats.org/drawingml/2006/main" noChangeArrowheads="1"/>
        </cdr:cNvSpPr>
      </cdr:nvSpPr>
      <cdr:spPr bwMode="auto">
        <a:xfrm xmlns:a="http://schemas.openxmlformats.org/drawingml/2006/main">
          <a:off x="881451" y="2180775"/>
          <a:ext cx="18531"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a14:hiddenLine>
          </a:ex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en-US"/>
        </a:p>
      </cdr:txBody>
    </cdr:sp>
  </cdr:relSizeAnchor>
  <cdr:relSizeAnchor xmlns:cdr="http://schemas.openxmlformats.org/drawingml/2006/chartDrawing">
    <cdr:from>
      <cdr:x>0.23878</cdr:x>
      <cdr:y>0.83312</cdr:y>
    </cdr:from>
    <cdr:to>
      <cdr:x>0.2438</cdr:x>
      <cdr:y>0.89291</cdr:y>
    </cdr:to>
    <cdr:sp macro="" textlink="">
      <cdr:nvSpPr>
        <cdr:cNvPr id="10246" name="Text Box 6"/>
        <cdr:cNvSpPr txBox="1">
          <a:spLocks xmlns:a="http://schemas.openxmlformats.org/drawingml/2006/main" noChangeArrowheads="1"/>
        </cdr:cNvSpPr>
      </cdr:nvSpPr>
      <cdr:spPr bwMode="auto">
        <a:xfrm xmlns:a="http://schemas.openxmlformats.org/drawingml/2006/main">
          <a:off x="881451" y="2180775"/>
          <a:ext cx="18531"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a14:hiddenLine>
          </a:ex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en-US"/>
        </a:p>
      </cdr:txBody>
    </cdr:sp>
  </cdr:relSizeAnchor>
</c:userShapes>
</file>

<file path=xl/drawings/drawing12.xml><?xml version="1.0" encoding="utf-8"?>
<c:userShapes xmlns:c="http://schemas.openxmlformats.org/drawingml/2006/chart">
  <cdr:relSizeAnchor xmlns:cdr="http://schemas.openxmlformats.org/drawingml/2006/chartDrawing">
    <cdr:from>
      <cdr:x>0.52916</cdr:x>
      <cdr:y>0.26572</cdr:y>
    </cdr:from>
    <cdr:to>
      <cdr:x>0.63534</cdr:x>
      <cdr:y>0.34429</cdr:y>
    </cdr:to>
    <cdr:sp macro="" textlink="" fLocksText="0">
      <cdr:nvSpPr>
        <cdr:cNvPr id="11265" name="Text Box 1"/>
        <cdr:cNvSpPr txBox="1">
          <a:spLocks xmlns:a="http://schemas.openxmlformats.org/drawingml/2006/main" noChangeArrowheads="1"/>
        </cdr:cNvSpPr>
      </cdr:nvSpPr>
      <cdr:spPr bwMode="auto">
        <a:xfrm xmlns:a="http://schemas.openxmlformats.org/drawingml/2006/main">
          <a:off x="1930238" y="695166"/>
          <a:ext cx="379933" cy="20556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n-US" sz="800" b="0" i="0" u="none" strike="noStrike" baseline="0">
              <a:solidFill>
                <a:srgbClr val="000000"/>
              </a:solidFill>
              <a:latin typeface="Arial"/>
              <a:ea typeface="Arial"/>
              <a:cs typeface="Arial"/>
            </a:rPr>
            <a:t>Normal</a:t>
          </a:r>
        </a:p>
      </cdr:txBody>
    </cdr:sp>
  </cdr:relSizeAnchor>
  <cdr:relSizeAnchor xmlns:cdr="http://schemas.openxmlformats.org/drawingml/2006/chartDrawing">
    <cdr:from>
      <cdr:x>0.44509</cdr:x>
      <cdr:y>0.54277</cdr:y>
    </cdr:from>
    <cdr:to>
      <cdr:x>0.552</cdr:x>
      <cdr:y>0.61871</cdr:y>
    </cdr:to>
    <cdr:sp macro="" textlink="" fLocksText="0">
      <cdr:nvSpPr>
        <cdr:cNvPr id="11266" name="Text Box 2"/>
        <cdr:cNvSpPr txBox="1">
          <a:spLocks xmlns:a="http://schemas.openxmlformats.org/drawingml/2006/main" noChangeArrowheads="1"/>
        </cdr:cNvSpPr>
      </cdr:nvSpPr>
      <cdr:spPr bwMode="auto">
        <a:xfrm xmlns:a="http://schemas.openxmlformats.org/drawingml/2006/main">
          <a:off x="1628578" y="1421886"/>
          <a:ext cx="383451" cy="19991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n-US" sz="800" b="0" i="0" u="none" strike="noStrike" baseline="0">
              <a:solidFill>
                <a:srgbClr val="000000"/>
              </a:solidFill>
              <a:latin typeface="Arial"/>
              <a:ea typeface="Arial"/>
              <a:cs typeface="Arial"/>
            </a:rPr>
            <a:t>Utility</a:t>
          </a:r>
        </a:p>
      </cdr:txBody>
    </cdr:sp>
  </cdr:relSizeAnchor>
</c:userShapes>
</file>

<file path=xl/drawings/drawing13.xml><?xml version="1.0" encoding="utf-8"?>
<xdr:wsDr xmlns:xdr="http://schemas.openxmlformats.org/drawingml/2006/spreadsheetDrawing" xmlns:a="http://schemas.openxmlformats.org/drawingml/2006/main">
  <xdr:twoCellAnchor>
    <xdr:from>
      <xdr:col>0</xdr:col>
      <xdr:colOff>596900</xdr:colOff>
      <xdr:row>24</xdr:row>
      <xdr:rowOff>127000</xdr:rowOff>
    </xdr:from>
    <xdr:to>
      <xdr:col>8</xdr:col>
      <xdr:colOff>12700</xdr:colOff>
      <xdr:row>43</xdr:row>
      <xdr:rowOff>50800</xdr:rowOff>
    </xdr:to>
    <xdr:graphicFrame macro="">
      <xdr:nvGraphicFramePr>
        <xdr:cNvPr id="7203" name="Chart 1">
          <a:extLst>
            <a:ext uri="{FF2B5EF4-FFF2-40B4-BE49-F238E27FC236}">
              <a16:creationId xmlns:a16="http://schemas.microsoft.com/office/drawing/2014/main" id="{F0AD55C6-48D1-A940-90DB-CCC53A7D6A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330200</xdr:colOff>
      <xdr:row>24</xdr:row>
      <xdr:rowOff>127000</xdr:rowOff>
    </xdr:from>
    <xdr:to>
      <xdr:col>15</xdr:col>
      <xdr:colOff>0</xdr:colOff>
      <xdr:row>43</xdr:row>
      <xdr:rowOff>0</xdr:rowOff>
    </xdr:to>
    <xdr:graphicFrame macro="">
      <xdr:nvGraphicFramePr>
        <xdr:cNvPr id="7204" name="Chart 2">
          <a:extLst>
            <a:ext uri="{FF2B5EF4-FFF2-40B4-BE49-F238E27FC236}">
              <a16:creationId xmlns:a16="http://schemas.microsoft.com/office/drawing/2014/main" id="{4DBE4DA2-515E-704C-99EB-F7437B7D61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63500</xdr:colOff>
      <xdr:row>24</xdr:row>
      <xdr:rowOff>25400</xdr:rowOff>
    </xdr:from>
    <xdr:to>
      <xdr:col>8</xdr:col>
      <xdr:colOff>38100</xdr:colOff>
      <xdr:row>42</xdr:row>
      <xdr:rowOff>88900</xdr:rowOff>
    </xdr:to>
    <xdr:graphicFrame macro="">
      <xdr:nvGraphicFramePr>
        <xdr:cNvPr id="1059" name="Chart 1">
          <a:extLst>
            <a:ext uri="{FF2B5EF4-FFF2-40B4-BE49-F238E27FC236}">
              <a16:creationId xmlns:a16="http://schemas.microsoft.com/office/drawing/2014/main" id="{FCD82E29-69BE-6C49-898D-D7812F9472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368300</xdr:colOff>
      <xdr:row>23</xdr:row>
      <xdr:rowOff>114300</xdr:rowOff>
    </xdr:from>
    <xdr:to>
      <xdr:col>16</xdr:col>
      <xdr:colOff>38100</xdr:colOff>
      <xdr:row>42</xdr:row>
      <xdr:rowOff>63500</xdr:rowOff>
    </xdr:to>
    <xdr:graphicFrame macro="">
      <xdr:nvGraphicFramePr>
        <xdr:cNvPr id="1060" name="Chart 2">
          <a:extLst>
            <a:ext uri="{FF2B5EF4-FFF2-40B4-BE49-F238E27FC236}">
              <a16:creationId xmlns:a16="http://schemas.microsoft.com/office/drawing/2014/main" id="{C3FAAE00-6BAE-4242-A93A-E30C251316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63500</xdr:colOff>
      <xdr:row>24</xdr:row>
      <xdr:rowOff>25400</xdr:rowOff>
    </xdr:from>
    <xdr:to>
      <xdr:col>8</xdr:col>
      <xdr:colOff>38100</xdr:colOff>
      <xdr:row>42</xdr:row>
      <xdr:rowOff>88900</xdr:rowOff>
    </xdr:to>
    <xdr:graphicFrame macro="">
      <xdr:nvGraphicFramePr>
        <xdr:cNvPr id="2083" name="Chart 1">
          <a:extLst>
            <a:ext uri="{FF2B5EF4-FFF2-40B4-BE49-F238E27FC236}">
              <a16:creationId xmlns:a16="http://schemas.microsoft.com/office/drawing/2014/main" id="{8798FE80-87DD-B74C-B3C2-54C6E4B805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368300</xdr:colOff>
      <xdr:row>23</xdr:row>
      <xdr:rowOff>114300</xdr:rowOff>
    </xdr:from>
    <xdr:to>
      <xdr:col>16</xdr:col>
      <xdr:colOff>38100</xdr:colOff>
      <xdr:row>42</xdr:row>
      <xdr:rowOff>63500</xdr:rowOff>
    </xdr:to>
    <xdr:graphicFrame macro="">
      <xdr:nvGraphicFramePr>
        <xdr:cNvPr id="2084" name="Chart 2">
          <a:extLst>
            <a:ext uri="{FF2B5EF4-FFF2-40B4-BE49-F238E27FC236}">
              <a16:creationId xmlns:a16="http://schemas.microsoft.com/office/drawing/2014/main" id="{2F2A4B96-CF5F-D340-B874-5CB115B0B2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596900</xdr:colOff>
      <xdr:row>24</xdr:row>
      <xdr:rowOff>114300</xdr:rowOff>
    </xdr:from>
    <xdr:to>
      <xdr:col>8</xdr:col>
      <xdr:colOff>12700</xdr:colOff>
      <xdr:row>43</xdr:row>
      <xdr:rowOff>50800</xdr:rowOff>
    </xdr:to>
    <xdr:graphicFrame macro="">
      <xdr:nvGraphicFramePr>
        <xdr:cNvPr id="4131" name="Chart 1">
          <a:extLst>
            <a:ext uri="{FF2B5EF4-FFF2-40B4-BE49-F238E27FC236}">
              <a16:creationId xmlns:a16="http://schemas.microsoft.com/office/drawing/2014/main" id="{BC35D1DB-E1C4-1F4F-B062-7C4B9C4CFC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444500</xdr:colOff>
      <xdr:row>24</xdr:row>
      <xdr:rowOff>88900</xdr:rowOff>
    </xdr:from>
    <xdr:to>
      <xdr:col>15</xdr:col>
      <xdr:colOff>190500</xdr:colOff>
      <xdr:row>43</xdr:row>
      <xdr:rowOff>38100</xdr:rowOff>
    </xdr:to>
    <xdr:graphicFrame macro="">
      <xdr:nvGraphicFramePr>
        <xdr:cNvPr id="4132" name="Chart 2">
          <a:extLst>
            <a:ext uri="{FF2B5EF4-FFF2-40B4-BE49-F238E27FC236}">
              <a16:creationId xmlns:a16="http://schemas.microsoft.com/office/drawing/2014/main" id="{93074580-D20A-204F-8E88-5BA427CCFB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0.2391</cdr:x>
      <cdr:y>0.83249</cdr:y>
    </cdr:from>
    <cdr:to>
      <cdr:x>0.25855</cdr:x>
      <cdr:y>0.89832</cdr:y>
    </cdr:to>
    <cdr:sp macro="" textlink="">
      <cdr:nvSpPr>
        <cdr:cNvPr id="7169" name="Text 1"/>
        <cdr:cNvSpPr txBox="1">
          <a:spLocks xmlns:a="http://schemas.openxmlformats.org/drawingml/2006/main" noChangeArrowheads="1"/>
        </cdr:cNvSpPr>
      </cdr:nvSpPr>
      <cdr:spPr bwMode="auto">
        <a:xfrm xmlns:a="http://schemas.openxmlformats.org/drawingml/2006/main">
          <a:off x="897496" y="2146141"/>
          <a:ext cx="73038" cy="180137"/>
        </a:xfrm>
        <a:prstGeom xmlns:a="http://schemas.openxmlformats.org/drawingml/2006/main" prst="rect">
          <a:avLst/>
        </a:prstGeom>
        <a:solidFill xmlns:a="http://schemas.openxmlformats.org/drawingml/2006/main">
          <a:srgbClr val="FFFFFF"/>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cdr:spPr>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0.2391</cdr:x>
      <cdr:y>0.83249</cdr:y>
    </cdr:from>
    <cdr:to>
      <cdr:x>0.25855</cdr:x>
      <cdr:y>0.89832</cdr:y>
    </cdr:to>
    <cdr:sp macro="" textlink="">
      <cdr:nvSpPr>
        <cdr:cNvPr id="7170" name="Text 2"/>
        <cdr:cNvSpPr txBox="1">
          <a:spLocks xmlns:a="http://schemas.openxmlformats.org/drawingml/2006/main" noChangeArrowheads="1"/>
        </cdr:cNvSpPr>
      </cdr:nvSpPr>
      <cdr:spPr bwMode="auto">
        <a:xfrm xmlns:a="http://schemas.openxmlformats.org/drawingml/2006/main">
          <a:off x="897496" y="2146141"/>
          <a:ext cx="73038" cy="180137"/>
        </a:xfrm>
        <a:prstGeom xmlns:a="http://schemas.openxmlformats.org/drawingml/2006/main" prst="rect">
          <a:avLst/>
        </a:prstGeom>
        <a:solidFill xmlns:a="http://schemas.openxmlformats.org/drawingml/2006/main">
          <a:srgbClr val="FFFFFF"/>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cdr:spPr>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0.2391</cdr:x>
      <cdr:y>0.83249</cdr:y>
    </cdr:from>
    <cdr:to>
      <cdr:x>0.25855</cdr:x>
      <cdr:y>0.89832</cdr:y>
    </cdr:to>
    <cdr:sp macro="" textlink="">
      <cdr:nvSpPr>
        <cdr:cNvPr id="7171" name="Text 3"/>
        <cdr:cNvSpPr txBox="1">
          <a:spLocks xmlns:a="http://schemas.openxmlformats.org/drawingml/2006/main" noChangeArrowheads="1"/>
        </cdr:cNvSpPr>
      </cdr:nvSpPr>
      <cdr:spPr bwMode="auto">
        <a:xfrm xmlns:a="http://schemas.openxmlformats.org/drawingml/2006/main">
          <a:off x="897496" y="2146141"/>
          <a:ext cx="73038" cy="180137"/>
        </a:xfrm>
        <a:prstGeom xmlns:a="http://schemas.openxmlformats.org/drawingml/2006/main" prst="rect">
          <a:avLst/>
        </a:prstGeom>
        <a:solidFill xmlns:a="http://schemas.openxmlformats.org/drawingml/2006/main">
          <a:srgbClr val="FFFFFF"/>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cdr:spPr>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0.23685</cdr:x>
      <cdr:y>0.80896</cdr:y>
    </cdr:from>
    <cdr:to>
      <cdr:x>0.24183</cdr:x>
      <cdr:y>0.869</cdr:y>
    </cdr:to>
    <cdr:sp macro="" textlink="">
      <cdr:nvSpPr>
        <cdr:cNvPr id="7172" name="Text Box 4"/>
        <cdr:cNvSpPr txBox="1">
          <a:spLocks xmlns:a="http://schemas.openxmlformats.org/drawingml/2006/main" noChangeArrowheads="1"/>
        </cdr:cNvSpPr>
      </cdr:nvSpPr>
      <cdr:spPr bwMode="auto">
        <a:xfrm xmlns:a="http://schemas.openxmlformats.org/drawingml/2006/main">
          <a:off x="869028" y="2080781"/>
          <a:ext cx="18530"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a14:hiddenLine>
          </a:ex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en-US"/>
        </a:p>
      </cdr:txBody>
    </cdr:sp>
  </cdr:relSizeAnchor>
  <cdr:relSizeAnchor xmlns:cdr="http://schemas.openxmlformats.org/drawingml/2006/chartDrawing">
    <cdr:from>
      <cdr:x>0.23685</cdr:x>
      <cdr:y>0.80896</cdr:y>
    </cdr:from>
    <cdr:to>
      <cdr:x>0.24183</cdr:x>
      <cdr:y>0.869</cdr:y>
    </cdr:to>
    <cdr:sp macro="" textlink="">
      <cdr:nvSpPr>
        <cdr:cNvPr id="7173" name="Text Box 5"/>
        <cdr:cNvSpPr txBox="1">
          <a:spLocks xmlns:a="http://schemas.openxmlformats.org/drawingml/2006/main" noChangeArrowheads="1"/>
        </cdr:cNvSpPr>
      </cdr:nvSpPr>
      <cdr:spPr bwMode="auto">
        <a:xfrm xmlns:a="http://schemas.openxmlformats.org/drawingml/2006/main">
          <a:off x="869028" y="2080781"/>
          <a:ext cx="18530"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a14:hiddenLine>
          </a:ex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en-US"/>
        </a:p>
      </cdr:txBody>
    </cdr:sp>
  </cdr:relSizeAnchor>
  <cdr:relSizeAnchor xmlns:cdr="http://schemas.openxmlformats.org/drawingml/2006/chartDrawing">
    <cdr:from>
      <cdr:x>0.23685</cdr:x>
      <cdr:y>0.80896</cdr:y>
    </cdr:from>
    <cdr:to>
      <cdr:x>0.24183</cdr:x>
      <cdr:y>0.869</cdr:y>
    </cdr:to>
    <cdr:sp macro="" textlink="">
      <cdr:nvSpPr>
        <cdr:cNvPr id="7174" name="Text Box 6"/>
        <cdr:cNvSpPr txBox="1">
          <a:spLocks xmlns:a="http://schemas.openxmlformats.org/drawingml/2006/main" noChangeArrowheads="1"/>
        </cdr:cNvSpPr>
      </cdr:nvSpPr>
      <cdr:spPr bwMode="auto">
        <a:xfrm xmlns:a="http://schemas.openxmlformats.org/drawingml/2006/main">
          <a:off x="869028" y="2080781"/>
          <a:ext cx="18530"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a14:hiddenLine>
          </a:ex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en-US"/>
        </a:p>
      </cdr:txBody>
    </cdr:sp>
  </cdr:relSizeAnchor>
</c:userShapes>
</file>

<file path=xl/drawings/drawing6.xml><?xml version="1.0" encoding="utf-8"?>
<c:userShapes xmlns:c="http://schemas.openxmlformats.org/drawingml/2006/chart">
  <cdr:relSizeAnchor xmlns:cdr="http://schemas.openxmlformats.org/drawingml/2006/chartDrawing">
    <cdr:from>
      <cdr:x>0.52916</cdr:x>
      <cdr:y>0.26572</cdr:y>
    </cdr:from>
    <cdr:to>
      <cdr:x>0.63534</cdr:x>
      <cdr:y>0.34429</cdr:y>
    </cdr:to>
    <cdr:sp macro="" textlink="" fLocksText="0">
      <cdr:nvSpPr>
        <cdr:cNvPr id="8193" name="Text Box 1"/>
        <cdr:cNvSpPr txBox="1">
          <a:spLocks xmlns:a="http://schemas.openxmlformats.org/drawingml/2006/main" noChangeArrowheads="1"/>
        </cdr:cNvSpPr>
      </cdr:nvSpPr>
      <cdr:spPr bwMode="auto">
        <a:xfrm xmlns:a="http://schemas.openxmlformats.org/drawingml/2006/main">
          <a:off x="1930238" y="695166"/>
          <a:ext cx="379933" cy="20556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n-US" sz="800" b="0" i="0" u="none" strike="noStrike" baseline="0">
              <a:solidFill>
                <a:srgbClr val="000000"/>
              </a:solidFill>
              <a:latin typeface="Arial"/>
              <a:ea typeface="Arial"/>
              <a:cs typeface="Arial"/>
            </a:rPr>
            <a:t>Normal</a:t>
          </a:r>
        </a:p>
      </cdr:txBody>
    </cdr:sp>
  </cdr:relSizeAnchor>
  <cdr:relSizeAnchor xmlns:cdr="http://schemas.openxmlformats.org/drawingml/2006/chartDrawing">
    <cdr:from>
      <cdr:x>0.44655</cdr:x>
      <cdr:y>0.54637</cdr:y>
    </cdr:from>
    <cdr:to>
      <cdr:x>0.55296</cdr:x>
      <cdr:y>0.62399</cdr:y>
    </cdr:to>
    <cdr:sp macro="" textlink="" fLocksText="0">
      <cdr:nvSpPr>
        <cdr:cNvPr id="8194" name="Text Box 3"/>
        <cdr:cNvSpPr txBox="1">
          <a:spLocks xmlns:a="http://schemas.openxmlformats.org/drawingml/2006/main" noChangeArrowheads="1"/>
        </cdr:cNvSpPr>
      </cdr:nvSpPr>
      <cdr:spPr bwMode="auto">
        <a:xfrm xmlns:a="http://schemas.openxmlformats.org/drawingml/2006/main">
          <a:off x="1628578" y="1421886"/>
          <a:ext cx="383451" cy="19991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n-US" sz="800" b="0" i="0" u="none" strike="noStrike" baseline="0">
              <a:solidFill>
                <a:srgbClr val="000000"/>
              </a:solidFill>
              <a:latin typeface="Arial"/>
              <a:ea typeface="Arial"/>
              <a:cs typeface="Arial"/>
            </a:rPr>
            <a:t>Utility</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596900</xdr:colOff>
      <xdr:row>24</xdr:row>
      <xdr:rowOff>114300</xdr:rowOff>
    </xdr:from>
    <xdr:to>
      <xdr:col>8</xdr:col>
      <xdr:colOff>12700</xdr:colOff>
      <xdr:row>43</xdr:row>
      <xdr:rowOff>50800</xdr:rowOff>
    </xdr:to>
    <xdr:graphicFrame macro="">
      <xdr:nvGraphicFramePr>
        <xdr:cNvPr id="5155" name="Chart 1">
          <a:extLst>
            <a:ext uri="{FF2B5EF4-FFF2-40B4-BE49-F238E27FC236}">
              <a16:creationId xmlns:a16="http://schemas.microsoft.com/office/drawing/2014/main" id="{F49C4723-33B6-FA4C-9722-C120F3C08A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241300</xdr:colOff>
      <xdr:row>24</xdr:row>
      <xdr:rowOff>101600</xdr:rowOff>
    </xdr:from>
    <xdr:to>
      <xdr:col>14</xdr:col>
      <xdr:colOff>495300</xdr:colOff>
      <xdr:row>43</xdr:row>
      <xdr:rowOff>50800</xdr:rowOff>
    </xdr:to>
    <xdr:graphicFrame macro="">
      <xdr:nvGraphicFramePr>
        <xdr:cNvPr id="5156" name="Chart 2">
          <a:extLst>
            <a:ext uri="{FF2B5EF4-FFF2-40B4-BE49-F238E27FC236}">
              <a16:creationId xmlns:a16="http://schemas.microsoft.com/office/drawing/2014/main" id="{52538F99-54B4-FF4F-B530-642F1B8F5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0.23521</cdr:x>
      <cdr:y>0.82433</cdr:y>
    </cdr:from>
    <cdr:to>
      <cdr:x>0.25466</cdr:x>
      <cdr:y>0.89352</cdr:y>
    </cdr:to>
    <cdr:sp macro="" textlink="">
      <cdr:nvSpPr>
        <cdr:cNvPr id="7169" name="Text 1"/>
        <cdr:cNvSpPr txBox="1">
          <a:spLocks xmlns:a="http://schemas.openxmlformats.org/drawingml/2006/main" noChangeArrowheads="1"/>
        </cdr:cNvSpPr>
      </cdr:nvSpPr>
      <cdr:spPr bwMode="auto">
        <a:xfrm xmlns:a="http://schemas.openxmlformats.org/drawingml/2006/main">
          <a:off x="897496" y="2146141"/>
          <a:ext cx="73038" cy="180137"/>
        </a:xfrm>
        <a:prstGeom xmlns:a="http://schemas.openxmlformats.org/drawingml/2006/main" prst="rect">
          <a:avLst/>
        </a:prstGeom>
        <a:solidFill xmlns:a="http://schemas.openxmlformats.org/drawingml/2006/main">
          <a:srgbClr val="FFFFFF"/>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cdr:spPr>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0.23521</cdr:x>
      <cdr:y>0.82433</cdr:y>
    </cdr:from>
    <cdr:to>
      <cdr:x>0.25466</cdr:x>
      <cdr:y>0.89352</cdr:y>
    </cdr:to>
    <cdr:sp macro="" textlink="">
      <cdr:nvSpPr>
        <cdr:cNvPr id="7170" name="Text 2"/>
        <cdr:cNvSpPr txBox="1">
          <a:spLocks xmlns:a="http://schemas.openxmlformats.org/drawingml/2006/main" noChangeArrowheads="1"/>
        </cdr:cNvSpPr>
      </cdr:nvSpPr>
      <cdr:spPr bwMode="auto">
        <a:xfrm xmlns:a="http://schemas.openxmlformats.org/drawingml/2006/main">
          <a:off x="897496" y="2146141"/>
          <a:ext cx="73038" cy="180137"/>
        </a:xfrm>
        <a:prstGeom xmlns:a="http://schemas.openxmlformats.org/drawingml/2006/main" prst="rect">
          <a:avLst/>
        </a:prstGeom>
        <a:solidFill xmlns:a="http://schemas.openxmlformats.org/drawingml/2006/main">
          <a:srgbClr val="FFFFFF"/>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cdr:spPr>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0.23521</cdr:x>
      <cdr:y>0.82433</cdr:y>
    </cdr:from>
    <cdr:to>
      <cdr:x>0.25466</cdr:x>
      <cdr:y>0.89352</cdr:y>
    </cdr:to>
    <cdr:sp macro="" textlink="">
      <cdr:nvSpPr>
        <cdr:cNvPr id="7171" name="Text 3"/>
        <cdr:cNvSpPr txBox="1">
          <a:spLocks xmlns:a="http://schemas.openxmlformats.org/drawingml/2006/main" noChangeArrowheads="1"/>
        </cdr:cNvSpPr>
      </cdr:nvSpPr>
      <cdr:spPr bwMode="auto">
        <a:xfrm xmlns:a="http://schemas.openxmlformats.org/drawingml/2006/main">
          <a:off x="897496" y="2146141"/>
          <a:ext cx="73038" cy="180137"/>
        </a:xfrm>
        <a:prstGeom xmlns:a="http://schemas.openxmlformats.org/drawingml/2006/main" prst="rect">
          <a:avLst/>
        </a:prstGeom>
        <a:solidFill xmlns:a="http://schemas.openxmlformats.org/drawingml/2006/main">
          <a:srgbClr val="FFFFFF"/>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cdr:spPr>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0.23246</cdr:x>
      <cdr:y>0.80181</cdr:y>
    </cdr:from>
    <cdr:to>
      <cdr:x>0.23748</cdr:x>
      <cdr:y>0.86223</cdr:y>
    </cdr:to>
    <cdr:sp macro="" textlink="">
      <cdr:nvSpPr>
        <cdr:cNvPr id="7172" name="Text Box 4"/>
        <cdr:cNvSpPr txBox="1">
          <a:spLocks xmlns:a="http://schemas.openxmlformats.org/drawingml/2006/main" noChangeArrowheads="1"/>
        </cdr:cNvSpPr>
      </cdr:nvSpPr>
      <cdr:spPr bwMode="auto">
        <a:xfrm xmlns:a="http://schemas.openxmlformats.org/drawingml/2006/main">
          <a:off x="885168" y="2077338"/>
          <a:ext cx="18531"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a14:hiddenLine>
          </a:ex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en-US"/>
        </a:p>
      </cdr:txBody>
    </cdr:sp>
  </cdr:relSizeAnchor>
  <cdr:relSizeAnchor xmlns:cdr="http://schemas.openxmlformats.org/drawingml/2006/chartDrawing">
    <cdr:from>
      <cdr:x>0.23246</cdr:x>
      <cdr:y>0.80181</cdr:y>
    </cdr:from>
    <cdr:to>
      <cdr:x>0.23748</cdr:x>
      <cdr:y>0.86223</cdr:y>
    </cdr:to>
    <cdr:sp macro="" textlink="">
      <cdr:nvSpPr>
        <cdr:cNvPr id="7173" name="Text Box 5"/>
        <cdr:cNvSpPr txBox="1">
          <a:spLocks xmlns:a="http://schemas.openxmlformats.org/drawingml/2006/main" noChangeArrowheads="1"/>
        </cdr:cNvSpPr>
      </cdr:nvSpPr>
      <cdr:spPr bwMode="auto">
        <a:xfrm xmlns:a="http://schemas.openxmlformats.org/drawingml/2006/main">
          <a:off x="885168" y="2077338"/>
          <a:ext cx="18531"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a14:hiddenLine>
          </a:ex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en-US"/>
        </a:p>
      </cdr:txBody>
    </cdr:sp>
  </cdr:relSizeAnchor>
  <cdr:relSizeAnchor xmlns:cdr="http://schemas.openxmlformats.org/drawingml/2006/chartDrawing">
    <cdr:from>
      <cdr:x>0.23246</cdr:x>
      <cdr:y>0.80181</cdr:y>
    </cdr:from>
    <cdr:to>
      <cdr:x>0.23748</cdr:x>
      <cdr:y>0.86223</cdr:y>
    </cdr:to>
    <cdr:sp macro="" textlink="">
      <cdr:nvSpPr>
        <cdr:cNvPr id="7174" name="Text Box 6"/>
        <cdr:cNvSpPr txBox="1">
          <a:spLocks xmlns:a="http://schemas.openxmlformats.org/drawingml/2006/main" noChangeArrowheads="1"/>
        </cdr:cNvSpPr>
      </cdr:nvSpPr>
      <cdr:spPr bwMode="auto">
        <a:xfrm xmlns:a="http://schemas.openxmlformats.org/drawingml/2006/main">
          <a:off x="885168" y="2077338"/>
          <a:ext cx="18531"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a14:hiddenLine>
          </a:ex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en-US"/>
        </a:p>
      </cdr:txBody>
    </cdr:sp>
  </cdr:relSizeAnchor>
</c:userShapes>
</file>

<file path=xl/drawings/drawing9.xml><?xml version="1.0" encoding="utf-8"?>
<c:userShapes xmlns:c="http://schemas.openxmlformats.org/drawingml/2006/chart">
  <cdr:relSizeAnchor xmlns:cdr="http://schemas.openxmlformats.org/drawingml/2006/chartDrawing">
    <cdr:from>
      <cdr:x>0.52916</cdr:x>
      <cdr:y>0.26572</cdr:y>
    </cdr:from>
    <cdr:to>
      <cdr:x>0.63534</cdr:x>
      <cdr:y>0.34429</cdr:y>
    </cdr:to>
    <cdr:sp macro="" textlink="" fLocksText="0">
      <cdr:nvSpPr>
        <cdr:cNvPr id="8193" name="Text Box 1"/>
        <cdr:cNvSpPr txBox="1">
          <a:spLocks xmlns:a="http://schemas.openxmlformats.org/drawingml/2006/main" noChangeArrowheads="1"/>
        </cdr:cNvSpPr>
      </cdr:nvSpPr>
      <cdr:spPr bwMode="auto">
        <a:xfrm xmlns:a="http://schemas.openxmlformats.org/drawingml/2006/main">
          <a:off x="1930238" y="695166"/>
          <a:ext cx="379933" cy="20556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n-US" sz="800" b="0" i="0" u="none" strike="noStrike" baseline="0">
              <a:solidFill>
                <a:srgbClr val="000000"/>
              </a:solidFill>
              <a:latin typeface="Arial"/>
              <a:ea typeface="Arial"/>
              <a:cs typeface="Arial"/>
            </a:rPr>
            <a:t>Normal</a:t>
          </a:r>
        </a:p>
      </cdr:txBody>
    </cdr:sp>
  </cdr:relSizeAnchor>
  <cdr:relSizeAnchor xmlns:cdr="http://schemas.openxmlformats.org/drawingml/2006/chartDrawing">
    <cdr:from>
      <cdr:x>0.44509</cdr:x>
      <cdr:y>0.54349</cdr:y>
    </cdr:from>
    <cdr:to>
      <cdr:x>0.552</cdr:x>
      <cdr:y>0.61991</cdr:y>
    </cdr:to>
    <cdr:sp macro="" textlink="" fLocksText="0">
      <cdr:nvSpPr>
        <cdr:cNvPr id="8194" name="Text Box 3"/>
        <cdr:cNvSpPr txBox="1">
          <a:spLocks xmlns:a="http://schemas.openxmlformats.org/drawingml/2006/main" noChangeArrowheads="1"/>
        </cdr:cNvSpPr>
      </cdr:nvSpPr>
      <cdr:spPr bwMode="auto">
        <a:xfrm xmlns:a="http://schemas.openxmlformats.org/drawingml/2006/main">
          <a:off x="1628578" y="1421886"/>
          <a:ext cx="383451" cy="19991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n-US" sz="800" b="0" i="0" u="none" strike="noStrike" baseline="0">
              <a:solidFill>
                <a:srgbClr val="000000"/>
              </a:solidFill>
              <a:latin typeface="Arial"/>
              <a:ea typeface="Arial"/>
              <a:cs typeface="Arial"/>
            </a:rPr>
            <a:t>Utility</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My%20Documents/Flying%20Stuff/Flight%20Planning/Weight%20&amp;%20Balance/Manual%20Forms/C150M_Manu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G Envelopes"/>
      <sheetName val="Loading Graph"/>
    </sheetNames>
    <sheetDataSet>
      <sheetData sheetId="0" refreshError="1"/>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6"/>
  <sheetViews>
    <sheetView showGridLines="0" showRowColHeaders="0" showZeros="0" showOutlineSymbols="0" topLeftCell="A72" zoomScale="120" zoomScaleNormal="120" workbookViewId="0">
      <selection activeCell="I102" sqref="I102"/>
    </sheetView>
  </sheetViews>
  <sheetFormatPr baseColWidth="10" defaultColWidth="8.83203125" defaultRowHeight="14"/>
  <cols>
    <col min="1" max="1" width="4.6640625" customWidth="1"/>
    <col min="2" max="2" width="15.83203125" customWidth="1"/>
    <col min="3" max="3" width="10.6640625" customWidth="1"/>
    <col min="10" max="10" width="11.1640625" customWidth="1"/>
  </cols>
  <sheetData>
    <row r="1" spans="2:10">
      <c r="C1" s="1"/>
    </row>
    <row r="2" spans="2:10">
      <c r="B2" t="s">
        <v>0</v>
      </c>
      <c r="C2" s="1"/>
    </row>
    <row r="3" spans="2:10">
      <c r="C3" s="1"/>
    </row>
    <row r="4" spans="2:10" ht="17">
      <c r="B4" s="2" t="s">
        <v>1</v>
      </c>
    </row>
    <row r="5" spans="2:10" ht="12.75" customHeight="1">
      <c r="B5" s="267" t="s">
        <v>2</v>
      </c>
      <c r="C5" s="267"/>
      <c r="D5" s="267"/>
      <c r="E5" s="267"/>
      <c r="F5" s="267"/>
      <c r="G5" s="267"/>
      <c r="H5" s="267"/>
      <c r="I5" s="267"/>
      <c r="J5" s="267"/>
    </row>
    <row r="6" spans="2:10">
      <c r="B6" s="267"/>
      <c r="C6" s="267"/>
      <c r="D6" s="267"/>
      <c r="E6" s="267"/>
      <c r="F6" s="267"/>
      <c r="G6" s="267"/>
      <c r="H6" s="267"/>
      <c r="I6" s="267"/>
      <c r="J6" s="267"/>
    </row>
    <row r="7" spans="2:10">
      <c r="B7" s="267"/>
      <c r="C7" s="267"/>
      <c r="D7" s="267"/>
      <c r="E7" s="267"/>
      <c r="F7" s="267"/>
      <c r="G7" s="267"/>
      <c r="H7" s="267"/>
      <c r="I7" s="267"/>
      <c r="J7" s="267"/>
    </row>
    <row r="8" spans="2:10">
      <c r="B8" s="267"/>
      <c r="C8" s="267"/>
      <c r="D8" s="267"/>
      <c r="E8" s="267"/>
      <c r="F8" s="267"/>
      <c r="G8" s="267"/>
      <c r="H8" s="267"/>
      <c r="I8" s="267"/>
      <c r="J8" s="267"/>
    </row>
    <row r="9" spans="2:10">
      <c r="B9" s="267"/>
      <c r="C9" s="267"/>
      <c r="D9" s="267"/>
      <c r="E9" s="267"/>
      <c r="F9" s="267"/>
      <c r="G9" s="267"/>
      <c r="H9" s="267"/>
      <c r="I9" s="267"/>
      <c r="J9" s="267"/>
    </row>
    <row r="10" spans="2:10">
      <c r="B10" s="267"/>
      <c r="C10" s="267"/>
      <c r="D10" s="267"/>
      <c r="E10" s="267"/>
      <c r="F10" s="267"/>
      <c r="G10" s="267"/>
      <c r="H10" s="267"/>
      <c r="I10" s="267"/>
      <c r="J10" s="267"/>
    </row>
    <row r="11" spans="2:10">
      <c r="B11" s="267"/>
      <c r="C11" s="267"/>
      <c r="D11" s="267"/>
      <c r="E11" s="267"/>
      <c r="F11" s="267"/>
      <c r="G11" s="267"/>
      <c r="H11" s="267"/>
      <c r="I11" s="267"/>
      <c r="J11" s="267"/>
    </row>
    <row r="12" spans="2:10">
      <c r="B12" s="267"/>
      <c r="C12" s="267"/>
      <c r="D12" s="267"/>
      <c r="E12" s="267"/>
      <c r="F12" s="267"/>
      <c r="G12" s="267"/>
      <c r="H12" s="267"/>
      <c r="I12" s="267"/>
      <c r="J12" s="267"/>
    </row>
    <row r="13" spans="2:10">
      <c r="B13" s="267"/>
      <c r="C13" s="267"/>
      <c r="D13" s="267"/>
      <c r="E13" s="267"/>
      <c r="F13" s="267"/>
      <c r="G13" s="267"/>
      <c r="H13" s="267"/>
      <c r="I13" s="267"/>
      <c r="J13" s="267"/>
    </row>
    <row r="14" spans="2:10">
      <c r="B14" s="267"/>
      <c r="C14" s="267"/>
      <c r="D14" s="267"/>
      <c r="E14" s="267"/>
      <c r="F14" s="267"/>
      <c r="G14" s="267"/>
      <c r="H14" s="267"/>
      <c r="I14" s="267"/>
      <c r="J14" s="267"/>
    </row>
    <row r="15" spans="2:10">
      <c r="B15" s="267"/>
      <c r="C15" s="267"/>
      <c r="D15" s="267"/>
      <c r="E15" s="267"/>
      <c r="F15" s="267"/>
      <c r="G15" s="267"/>
      <c r="H15" s="267"/>
      <c r="I15" s="267"/>
      <c r="J15" s="267"/>
    </row>
    <row r="18" spans="2:9">
      <c r="B18" s="3" t="s">
        <v>3</v>
      </c>
    </row>
    <row r="20" spans="2:9">
      <c r="B20" s="4" t="s">
        <v>4</v>
      </c>
      <c r="C20" s="5"/>
      <c r="D20" s="5"/>
      <c r="E20" s="5"/>
      <c r="F20" s="5"/>
      <c r="G20" s="5"/>
      <c r="H20" s="5"/>
      <c r="I20" s="6"/>
    </row>
    <row r="22" spans="2:9" ht="12.75" customHeight="1">
      <c r="B22" s="7" t="s">
        <v>5</v>
      </c>
      <c r="C22" s="268" t="s">
        <v>6</v>
      </c>
      <c r="D22" s="268"/>
      <c r="E22" s="268"/>
      <c r="F22" s="268"/>
      <c r="G22" s="268"/>
      <c r="H22" s="268"/>
      <c r="I22" s="268"/>
    </row>
    <row r="23" spans="2:9" ht="44.25" customHeight="1">
      <c r="B23" s="184"/>
      <c r="C23" s="268"/>
      <c r="D23" s="268"/>
      <c r="E23" s="268"/>
      <c r="F23" s="268"/>
      <c r="G23" s="268"/>
      <c r="H23" s="268"/>
      <c r="I23" s="268"/>
    </row>
    <row r="24" spans="2:9" ht="20.25" customHeight="1">
      <c r="B24" s="184"/>
      <c r="C24" s="268"/>
      <c r="D24" s="268"/>
      <c r="E24" s="268"/>
      <c r="F24" s="268"/>
      <c r="G24" s="268"/>
      <c r="H24" s="268"/>
      <c r="I24" s="268"/>
    </row>
    <row r="25" spans="2:9">
      <c r="B25" s="184"/>
      <c r="C25" s="184"/>
      <c r="D25" s="184"/>
      <c r="E25" s="184"/>
      <c r="F25" s="184"/>
      <c r="G25" s="184"/>
      <c r="H25" s="184"/>
      <c r="I25" s="184"/>
    </row>
    <row r="28" spans="2:9" ht="12.75" customHeight="1">
      <c r="B28" s="8" t="s">
        <v>7</v>
      </c>
      <c r="C28" s="268" t="s">
        <v>8</v>
      </c>
      <c r="D28" s="268"/>
      <c r="E28" s="268"/>
      <c r="F28" s="268"/>
      <c r="G28" s="268"/>
      <c r="H28" s="268"/>
      <c r="I28" s="268"/>
    </row>
    <row r="29" spans="2:9">
      <c r="C29" s="268"/>
      <c r="D29" s="268"/>
      <c r="E29" s="268"/>
      <c r="F29" s="268"/>
      <c r="G29" s="268"/>
      <c r="H29" s="268"/>
      <c r="I29" s="268"/>
    </row>
    <row r="30" spans="2:9" ht="27.75" customHeight="1">
      <c r="C30" s="268"/>
      <c r="D30" s="268"/>
      <c r="E30" s="268"/>
      <c r="F30" s="268"/>
      <c r="G30" s="268"/>
      <c r="H30" s="268"/>
      <c r="I30" s="268"/>
    </row>
    <row r="31" spans="2:9" ht="30" customHeight="1">
      <c r="C31" s="268"/>
      <c r="D31" s="268"/>
      <c r="E31" s="268"/>
      <c r="F31" s="268"/>
      <c r="G31" s="268"/>
      <c r="H31" s="268"/>
      <c r="I31" s="268"/>
    </row>
    <row r="32" spans="2:9" ht="29.25" customHeight="1">
      <c r="C32" s="268"/>
      <c r="D32" s="268"/>
      <c r="E32" s="268"/>
      <c r="F32" s="268"/>
      <c r="G32" s="268"/>
      <c r="H32" s="268"/>
      <c r="I32" s="268"/>
    </row>
    <row r="33" spans="2:9" ht="28.5" customHeight="1">
      <c r="C33" s="268"/>
      <c r="D33" s="268"/>
      <c r="E33" s="268"/>
      <c r="F33" s="268"/>
      <c r="G33" s="268"/>
      <c r="H33" s="268"/>
      <c r="I33" s="268"/>
    </row>
    <row r="34" spans="2:9" ht="33.75" customHeight="1">
      <c r="C34" s="268"/>
      <c r="D34" s="268"/>
      <c r="E34" s="268"/>
      <c r="F34" s="268"/>
      <c r="G34" s="268"/>
      <c r="H34" s="268"/>
      <c r="I34" s="268"/>
    </row>
    <row r="35" spans="2:9" ht="44.25" customHeight="1">
      <c r="C35" s="268"/>
      <c r="D35" s="268"/>
      <c r="E35" s="268"/>
      <c r="F35" s="268"/>
      <c r="G35" s="268"/>
      <c r="H35" s="268"/>
      <c r="I35" s="268"/>
    </row>
    <row r="36" spans="2:9">
      <c r="C36" s="268"/>
      <c r="D36" s="268"/>
      <c r="E36" s="268"/>
      <c r="F36" s="268"/>
      <c r="G36" s="268"/>
      <c r="H36" s="268"/>
      <c r="I36" s="268"/>
    </row>
    <row r="37" spans="2:9">
      <c r="C37" s="268"/>
      <c r="D37" s="268"/>
      <c r="E37" s="268"/>
      <c r="F37" s="268"/>
      <c r="G37" s="268"/>
      <c r="H37" s="268"/>
      <c r="I37" s="268"/>
    </row>
    <row r="38" spans="2:9">
      <c r="C38" s="184"/>
      <c r="D38" s="184"/>
      <c r="E38" s="184"/>
      <c r="F38" s="184"/>
      <c r="G38" s="184"/>
      <c r="H38" s="184"/>
      <c r="I38" s="184"/>
    </row>
    <row r="39" spans="2:9">
      <c r="C39" s="184"/>
      <c r="D39" s="184"/>
      <c r="E39" s="184"/>
      <c r="F39" s="184"/>
      <c r="G39" s="184"/>
      <c r="H39" s="184"/>
      <c r="I39" s="184"/>
    </row>
    <row r="40" spans="2:9">
      <c r="C40" s="184"/>
      <c r="D40" s="184"/>
      <c r="E40" s="184"/>
      <c r="F40" s="184"/>
      <c r="G40" s="184"/>
      <c r="H40" s="184"/>
      <c r="I40" s="184"/>
    </row>
    <row r="41" spans="2:9" ht="12.75" customHeight="1">
      <c r="B41" s="3" t="s">
        <v>9</v>
      </c>
      <c r="C41" s="268" t="s">
        <v>10</v>
      </c>
      <c r="D41" s="268"/>
      <c r="E41" s="268"/>
      <c r="F41" s="268"/>
      <c r="G41" s="268"/>
      <c r="H41" s="268"/>
      <c r="I41" s="268"/>
    </row>
    <row r="42" spans="2:9">
      <c r="C42" s="268"/>
      <c r="D42" s="268"/>
      <c r="E42" s="268"/>
      <c r="F42" s="268"/>
      <c r="G42" s="268"/>
      <c r="H42" s="268"/>
      <c r="I42" s="268"/>
    </row>
    <row r="43" spans="2:9">
      <c r="C43" s="268"/>
      <c r="D43" s="268"/>
      <c r="E43" s="268"/>
      <c r="F43" s="268"/>
      <c r="G43" s="268"/>
      <c r="H43" s="268"/>
      <c r="I43" s="268"/>
    </row>
    <row r="44" spans="2:9" ht="33.75" customHeight="1">
      <c r="C44" s="268"/>
      <c r="D44" s="268"/>
      <c r="E44" s="268"/>
      <c r="F44" s="268"/>
      <c r="G44" s="268"/>
      <c r="H44" s="268"/>
      <c r="I44" s="268"/>
    </row>
    <row r="45" spans="2:9" ht="29.25" customHeight="1">
      <c r="C45" s="268"/>
      <c r="D45" s="268"/>
      <c r="E45" s="268"/>
      <c r="F45" s="268"/>
      <c r="G45" s="268"/>
      <c r="H45" s="268"/>
      <c r="I45" s="268"/>
    </row>
    <row r="46" spans="2:9">
      <c r="C46" s="268"/>
      <c r="D46" s="268"/>
      <c r="E46" s="268"/>
      <c r="F46" s="268"/>
      <c r="G46" s="268"/>
      <c r="H46" s="268"/>
      <c r="I46" s="268"/>
    </row>
    <row r="47" spans="2:9">
      <c r="C47" s="268"/>
      <c r="D47" s="268"/>
      <c r="E47" s="268"/>
      <c r="F47" s="268"/>
      <c r="G47" s="268"/>
      <c r="H47" s="268"/>
      <c r="I47" s="268"/>
    </row>
    <row r="52" spans="1:3">
      <c r="A52" t="s">
        <v>11</v>
      </c>
    </row>
    <row r="53" spans="1:3">
      <c r="B53" s="1">
        <v>38980</v>
      </c>
      <c r="C53" t="s">
        <v>12</v>
      </c>
    </row>
    <row r="54" spans="1:3">
      <c r="B54" s="1">
        <v>39190</v>
      </c>
      <c r="C54" t="s">
        <v>13</v>
      </c>
    </row>
    <row r="55" spans="1:3">
      <c r="B55" s="1">
        <v>39561</v>
      </c>
      <c r="C55" t="s">
        <v>14</v>
      </c>
    </row>
    <row r="56" spans="1:3">
      <c r="B56" s="1">
        <v>39587</v>
      </c>
      <c r="C56" t="s">
        <v>15</v>
      </c>
    </row>
    <row r="57" spans="1:3">
      <c r="B57" s="1">
        <v>39595</v>
      </c>
      <c r="C57" t="s">
        <v>16</v>
      </c>
    </row>
    <row r="58" spans="1:3">
      <c r="B58" s="1">
        <v>39600</v>
      </c>
      <c r="C58" t="s">
        <v>17</v>
      </c>
    </row>
    <row r="59" spans="1:3">
      <c r="B59" s="1">
        <v>39874</v>
      </c>
      <c r="C59" t="s">
        <v>18</v>
      </c>
    </row>
    <row r="60" spans="1:3">
      <c r="B60" s="1">
        <v>39891</v>
      </c>
      <c r="C60" t="s">
        <v>19</v>
      </c>
    </row>
    <row r="61" spans="1:3">
      <c r="B61" s="1">
        <v>39925</v>
      </c>
      <c r="C61" t="s">
        <v>20</v>
      </c>
    </row>
    <row r="62" spans="1:3">
      <c r="B62" s="1">
        <v>39938</v>
      </c>
      <c r="C62" t="s">
        <v>21</v>
      </c>
    </row>
    <row r="63" spans="1:3">
      <c r="B63" s="1">
        <v>39944</v>
      </c>
      <c r="C63" t="s">
        <v>22</v>
      </c>
    </row>
    <row r="64" spans="1:3">
      <c r="B64" s="1">
        <v>39990</v>
      </c>
      <c r="C64" t="s">
        <v>23</v>
      </c>
    </row>
    <row r="65" spans="2:13">
      <c r="B65" s="1">
        <v>40009</v>
      </c>
      <c r="C65" t="s">
        <v>24</v>
      </c>
    </row>
    <row r="66" spans="2:13">
      <c r="B66" s="1">
        <v>40028</v>
      </c>
      <c r="C66" t="s">
        <v>25</v>
      </c>
    </row>
    <row r="67" spans="2:13" ht="12.75" customHeight="1">
      <c r="B67" s="1">
        <v>40049</v>
      </c>
      <c r="C67" s="266" t="s">
        <v>26</v>
      </c>
      <c r="D67" s="266"/>
      <c r="E67" s="266"/>
      <c r="F67" s="266"/>
      <c r="G67" s="266"/>
      <c r="H67" s="266"/>
      <c r="I67" s="266"/>
      <c r="J67" s="266"/>
      <c r="K67" s="266"/>
      <c r="L67" s="266"/>
      <c r="M67" s="266"/>
    </row>
    <row r="68" spans="2:13">
      <c r="B68" s="1"/>
      <c r="C68" s="266"/>
      <c r="D68" s="266"/>
      <c r="E68" s="266"/>
      <c r="F68" s="266"/>
      <c r="G68" s="266"/>
      <c r="H68" s="266"/>
      <c r="I68" s="266"/>
      <c r="J68" s="266"/>
      <c r="K68" s="266"/>
      <c r="L68" s="266"/>
      <c r="M68" s="266"/>
    </row>
    <row r="69" spans="2:13">
      <c r="B69" s="1">
        <v>40061</v>
      </c>
      <c r="C69" t="s">
        <v>27</v>
      </c>
    </row>
    <row r="70" spans="2:13">
      <c r="B70" s="1">
        <v>40099</v>
      </c>
      <c r="C70" t="s">
        <v>28</v>
      </c>
    </row>
    <row r="71" spans="2:13">
      <c r="B71" s="1">
        <v>40199</v>
      </c>
      <c r="C71" t="s">
        <v>29</v>
      </c>
    </row>
    <row r="72" spans="2:13">
      <c r="B72" s="1">
        <v>40213</v>
      </c>
      <c r="C72" t="s">
        <v>30</v>
      </c>
    </row>
    <row r="73" spans="2:13">
      <c r="B73" s="1">
        <v>40290</v>
      </c>
      <c r="C73" t="s">
        <v>30</v>
      </c>
    </row>
    <row r="74" spans="2:13">
      <c r="B74" s="1">
        <v>40389</v>
      </c>
      <c r="C74" t="s">
        <v>31</v>
      </c>
    </row>
    <row r="75" spans="2:13">
      <c r="B75" s="1">
        <v>40752</v>
      </c>
      <c r="C75" t="s">
        <v>32</v>
      </c>
    </row>
    <row r="76" spans="2:13">
      <c r="B76" s="1">
        <v>40871</v>
      </c>
      <c r="C76" t="s">
        <v>33</v>
      </c>
    </row>
    <row r="77" spans="2:13">
      <c r="B77" s="1">
        <v>41355</v>
      </c>
      <c r="C77" t="s">
        <v>34</v>
      </c>
    </row>
    <row r="78" spans="2:13">
      <c r="B78" s="1">
        <v>40657</v>
      </c>
      <c r="C78" t="s">
        <v>35</v>
      </c>
    </row>
    <row r="79" spans="2:13">
      <c r="B79" s="1">
        <v>41510</v>
      </c>
      <c r="C79" t="s">
        <v>36</v>
      </c>
    </row>
    <row r="80" spans="2:13">
      <c r="B80" s="1">
        <v>41527</v>
      </c>
      <c r="C80" t="s">
        <v>37</v>
      </c>
    </row>
    <row r="81" spans="2:3">
      <c r="B81" s="1">
        <v>41540</v>
      </c>
      <c r="C81" t="s">
        <v>38</v>
      </c>
    </row>
    <row r="82" spans="2:3">
      <c r="B82" s="1">
        <v>41588</v>
      </c>
      <c r="C82" t="s">
        <v>39</v>
      </c>
    </row>
    <row r="83" spans="2:3">
      <c r="B83" s="1">
        <v>41696</v>
      </c>
      <c r="C83" t="s">
        <v>40</v>
      </c>
    </row>
    <row r="84" spans="2:3">
      <c r="B84" s="1">
        <v>41849</v>
      </c>
      <c r="C84" t="s">
        <v>41</v>
      </c>
    </row>
    <row r="85" spans="2:3">
      <c r="B85" s="1">
        <v>42110</v>
      </c>
      <c r="C85" t="s">
        <v>42</v>
      </c>
    </row>
    <row r="86" spans="2:3">
      <c r="B86" s="1">
        <v>42089</v>
      </c>
      <c r="C86" t="s">
        <v>43</v>
      </c>
    </row>
    <row r="87" spans="2:3">
      <c r="B87" s="1">
        <v>43052</v>
      </c>
      <c r="C87" t="s">
        <v>44</v>
      </c>
    </row>
    <row r="88" spans="2:3">
      <c r="B88" s="1">
        <v>43066</v>
      </c>
      <c r="C88" t="s">
        <v>45</v>
      </c>
    </row>
    <row r="89" spans="2:3">
      <c r="B89" s="1">
        <v>43074</v>
      </c>
      <c r="C89" t="s">
        <v>46</v>
      </c>
    </row>
    <row r="90" spans="2:3">
      <c r="B90" s="172">
        <v>43097</v>
      </c>
      <c r="C90" t="s">
        <v>47</v>
      </c>
    </row>
    <row r="91" spans="2:3">
      <c r="B91" s="1">
        <v>43266</v>
      </c>
      <c r="C91" t="s">
        <v>48</v>
      </c>
    </row>
    <row r="92" spans="2:3">
      <c r="B92" s="1">
        <v>43351</v>
      </c>
      <c r="C92" t="s">
        <v>49</v>
      </c>
    </row>
    <row r="93" spans="2:3">
      <c r="B93" s="1">
        <v>43375</v>
      </c>
      <c r="C93" t="s">
        <v>50</v>
      </c>
    </row>
    <row r="94" spans="2:3">
      <c r="B94" s="1">
        <v>43752</v>
      </c>
      <c r="C94" t="s">
        <v>51</v>
      </c>
    </row>
    <row r="95" spans="2:3">
      <c r="B95" s="1">
        <v>44252</v>
      </c>
      <c r="C95" t="s">
        <v>52</v>
      </c>
    </row>
    <row r="96" spans="2:3">
      <c r="B96" s="1">
        <v>44302</v>
      </c>
      <c r="C96" t="s">
        <v>53</v>
      </c>
    </row>
    <row r="97" spans="2:3">
      <c r="B97" s="1">
        <v>44728</v>
      </c>
      <c r="C97" t="s">
        <v>54</v>
      </c>
    </row>
    <row r="98" spans="2:3">
      <c r="B98" s="1">
        <v>45031</v>
      </c>
      <c r="C98" t="s">
        <v>55</v>
      </c>
    </row>
    <row r="99" spans="2:3">
      <c r="B99" s="1">
        <v>45418</v>
      </c>
      <c r="C99" t="s">
        <v>56</v>
      </c>
    </row>
    <row r="100" spans="2:3">
      <c r="B100" s="1">
        <v>45428</v>
      </c>
      <c r="C100" t="s">
        <v>57</v>
      </c>
    </row>
    <row r="101" spans="2:3">
      <c r="B101" s="1">
        <v>45493</v>
      </c>
      <c r="C101" t="s">
        <v>58</v>
      </c>
    </row>
    <row r="102" spans="2:3">
      <c r="B102" s="1">
        <v>45498</v>
      </c>
      <c r="C102" t="s">
        <v>59</v>
      </c>
    </row>
    <row r="103" spans="2:3">
      <c r="B103" s="1">
        <v>45535</v>
      </c>
      <c r="C103" t="s">
        <v>60</v>
      </c>
    </row>
    <row r="104" spans="2:3">
      <c r="B104" s="1">
        <v>45699</v>
      </c>
      <c r="C104" t="s">
        <v>61</v>
      </c>
    </row>
    <row r="105" spans="2:3">
      <c r="B105" s="1">
        <v>45717</v>
      </c>
      <c r="C105" t="s">
        <v>62</v>
      </c>
    </row>
    <row r="106" spans="2:3">
      <c r="B106" s="1">
        <v>45748</v>
      </c>
      <c r="C106" t="s">
        <v>248</v>
      </c>
    </row>
  </sheetData>
  <sheetProtection sheet="1" scenarios="1" selectLockedCells="1" selectUnlockedCells="1"/>
  <mergeCells count="5">
    <mergeCell ref="C67:M68"/>
    <mergeCell ref="B5:J15"/>
    <mergeCell ref="C22:I24"/>
    <mergeCell ref="C28:I37"/>
    <mergeCell ref="C41:I47"/>
  </mergeCells>
  <phoneticPr fontId="15" type="noConversion"/>
  <pageMargins left="0.74791666666666667" right="0.74791666666666667" top="0.98402777777777772" bottom="0.98402777777777772" header="0.51180555555555551" footer="0.51180555555555551"/>
  <pageSetup firstPageNumber="0"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N65"/>
  <sheetViews>
    <sheetView showZeros="0" showOutlineSymbols="0" topLeftCell="A13" zoomScale="110" zoomScaleNormal="110" workbookViewId="0">
      <selection activeCell="C45" sqref="C45"/>
    </sheetView>
  </sheetViews>
  <sheetFormatPr baseColWidth="10" defaultColWidth="8.83203125" defaultRowHeight="14"/>
  <cols>
    <col min="1" max="1" width="5.1640625" customWidth="1"/>
    <col min="2" max="2" width="31.83203125" customWidth="1"/>
    <col min="3" max="3" width="7.5" customWidth="1"/>
    <col min="4" max="4" width="8.6640625" style="9" bestFit="1" customWidth="1"/>
    <col min="5" max="5" width="10" style="9" customWidth="1"/>
    <col min="6" max="9" width="8.6640625" style="9" bestFit="1" customWidth="1"/>
  </cols>
  <sheetData>
    <row r="2" spans="2:9" ht="19">
      <c r="E2" s="10" t="s">
        <v>63</v>
      </c>
    </row>
    <row r="3" spans="2:9" ht="17">
      <c r="C3" s="178"/>
      <c r="E3" s="179" t="s">
        <v>64</v>
      </c>
    </row>
    <row r="4" spans="2:9" ht="12" customHeight="1">
      <c r="B4" s="269" t="s">
        <v>65</v>
      </c>
      <c r="C4" s="269"/>
      <c r="D4" s="269"/>
      <c r="E4" s="269"/>
      <c r="F4" s="269"/>
      <c r="G4" s="269"/>
      <c r="H4" s="269"/>
      <c r="I4" s="269"/>
    </row>
    <row r="5" spans="2:9" ht="12" customHeight="1">
      <c r="B5" s="269"/>
      <c r="C5" s="269"/>
      <c r="D5" s="269"/>
      <c r="E5" s="269"/>
      <c r="F5" s="269"/>
      <c r="G5" s="269"/>
      <c r="H5" s="269"/>
      <c r="I5" s="269"/>
    </row>
    <row r="6" spans="2:9" ht="12" customHeight="1">
      <c r="B6" s="269"/>
      <c r="C6" s="269"/>
      <c r="D6" s="269"/>
      <c r="E6" s="269"/>
      <c r="F6" s="269"/>
      <c r="G6" s="269"/>
      <c r="H6" s="269"/>
      <c r="I6" s="269"/>
    </row>
    <row r="7" spans="2:9" ht="12" customHeight="1">
      <c r="B7" s="269"/>
      <c r="C7" s="269"/>
      <c r="D7" s="269"/>
      <c r="E7" s="269"/>
      <c r="F7" s="269"/>
      <c r="G7" s="269"/>
      <c r="H7" s="269"/>
      <c r="I7" s="269"/>
    </row>
    <row r="8" spans="2:9" ht="12" customHeight="1">
      <c r="B8" s="269"/>
      <c r="C8" s="269"/>
      <c r="D8" s="269"/>
      <c r="E8" s="269"/>
      <c r="F8" s="269"/>
      <c r="G8" s="269"/>
      <c r="H8" s="269"/>
      <c r="I8" s="269"/>
    </row>
    <row r="9" spans="2:9" ht="12" customHeight="1">
      <c r="B9" s="269"/>
      <c r="C9" s="269"/>
      <c r="D9" s="269"/>
      <c r="E9" s="269"/>
      <c r="F9" s="269"/>
      <c r="G9" s="269"/>
      <c r="H9" s="269"/>
      <c r="I9" s="269"/>
    </row>
    <row r="10" spans="2:9" ht="12" customHeight="1">
      <c r="B10" s="269"/>
      <c r="C10" s="269"/>
      <c r="D10" s="269"/>
      <c r="E10" s="269"/>
      <c r="F10" s="269"/>
      <c r="G10" s="269"/>
      <c r="H10" s="269"/>
      <c r="I10" s="269"/>
    </row>
    <row r="11" spans="2:9" ht="12" customHeight="1">
      <c r="B11" s="269"/>
      <c r="C11" s="269"/>
      <c r="D11" s="269"/>
      <c r="E11" s="269"/>
      <c r="F11" s="269"/>
      <c r="G11" s="269"/>
      <c r="H11" s="269"/>
      <c r="I11" s="269"/>
    </row>
    <row r="12" spans="2:9" ht="12" customHeight="1">
      <c r="B12" s="269"/>
      <c r="C12" s="269"/>
      <c r="D12" s="269"/>
      <c r="E12" s="269"/>
      <c r="F12" s="269"/>
      <c r="G12" s="269"/>
      <c r="H12" s="269"/>
      <c r="I12" s="269"/>
    </row>
    <row r="13" spans="2:9" ht="12" customHeight="1">
      <c r="B13" s="269"/>
      <c r="C13" s="269"/>
      <c r="D13" s="269"/>
      <c r="E13" s="269"/>
      <c r="F13" s="269"/>
      <c r="G13" s="269"/>
      <c r="H13" s="269"/>
      <c r="I13" s="269"/>
    </row>
    <row r="14" spans="2:9" ht="12" customHeight="1">
      <c r="B14" s="269"/>
      <c r="C14" s="269"/>
      <c r="D14" s="269"/>
      <c r="E14" s="269"/>
      <c r="F14" s="269"/>
      <c r="G14" s="269"/>
      <c r="H14" s="269"/>
      <c r="I14" s="269"/>
    </row>
    <row r="15" spans="2:9" ht="12" customHeight="1">
      <c r="B15" s="269"/>
      <c r="C15" s="269"/>
      <c r="D15" s="269"/>
      <c r="E15" s="269"/>
      <c r="F15" s="269"/>
      <c r="G15" s="269"/>
      <c r="H15" s="269"/>
      <c r="I15" s="269"/>
    </row>
    <row r="16" spans="2:9" ht="12" customHeight="1">
      <c r="B16" s="269"/>
      <c r="C16" s="269"/>
      <c r="D16" s="269"/>
      <c r="E16" s="269"/>
      <c r="F16" s="269"/>
      <c r="G16" s="269"/>
      <c r="H16" s="269"/>
      <c r="I16" s="269"/>
    </row>
    <row r="17" spans="2:14" ht="12" customHeight="1">
      <c r="B17" s="269"/>
      <c r="C17" s="269"/>
      <c r="D17" s="269"/>
      <c r="E17" s="269"/>
      <c r="F17" s="269"/>
      <c r="G17" s="269"/>
      <c r="H17" s="269"/>
      <c r="I17" s="269"/>
    </row>
    <row r="18" spans="2:14" ht="12.75" customHeight="1">
      <c r="B18" s="269"/>
      <c r="C18" s="269"/>
      <c r="D18" s="269"/>
      <c r="E18" s="269"/>
      <c r="F18" s="269"/>
      <c r="G18" s="269"/>
      <c r="H18" s="269"/>
      <c r="I18" s="269"/>
      <c r="J18" s="165"/>
      <c r="K18" s="165"/>
      <c r="L18" s="165"/>
      <c r="M18" s="165"/>
    </row>
    <row r="19" spans="2:14" ht="12.75" customHeight="1">
      <c r="B19" s="269" t="s">
        <v>66</v>
      </c>
      <c r="C19" s="269"/>
      <c r="D19" s="269"/>
      <c r="E19" s="269"/>
      <c r="F19" s="269"/>
      <c r="G19" s="269"/>
      <c r="H19" s="269"/>
      <c r="I19" s="269"/>
      <c r="J19" s="165"/>
      <c r="K19" s="165"/>
      <c r="L19" s="165"/>
      <c r="M19" s="165"/>
    </row>
    <row r="20" spans="2:14">
      <c r="B20" s="269"/>
      <c r="C20" s="269"/>
      <c r="D20" s="269"/>
      <c r="E20" s="269"/>
      <c r="F20" s="269"/>
      <c r="G20" s="269"/>
      <c r="H20" s="269"/>
      <c r="I20" s="269"/>
      <c r="J20" s="165"/>
      <c r="K20" s="165"/>
      <c r="L20" s="165"/>
      <c r="M20" s="165"/>
    </row>
    <row r="21" spans="2:14">
      <c r="B21" s="269"/>
      <c r="C21" s="269"/>
      <c r="D21" s="269"/>
      <c r="E21" s="269"/>
      <c r="F21" s="269"/>
      <c r="G21" s="269"/>
      <c r="H21" s="269"/>
      <c r="I21" s="269"/>
      <c r="J21" s="165"/>
      <c r="K21" s="165"/>
      <c r="L21" s="165"/>
      <c r="M21" s="165"/>
    </row>
    <row r="22" spans="2:14">
      <c r="B22" s="269"/>
      <c r="C22" s="269"/>
      <c r="D22" s="269"/>
      <c r="E22" s="269"/>
      <c r="F22" s="269"/>
      <c r="G22" s="269"/>
      <c r="H22" s="269"/>
      <c r="I22" s="269"/>
      <c r="J22" s="165"/>
      <c r="K22" s="165"/>
      <c r="L22" s="165"/>
      <c r="M22" s="165"/>
    </row>
    <row r="23" spans="2:14" ht="16" thickBot="1">
      <c r="B23" s="11"/>
      <c r="C23" s="11"/>
      <c r="D23" s="11"/>
      <c r="E23" s="11"/>
      <c r="F23" s="11"/>
      <c r="G23" s="11"/>
      <c r="H23" s="11"/>
      <c r="I23" s="165"/>
      <c r="J23" s="165"/>
      <c r="K23" s="165"/>
      <c r="L23" s="165"/>
    </row>
    <row r="24" spans="2:14">
      <c r="B24" s="185" t="s">
        <v>67</v>
      </c>
      <c r="C24" s="186">
        <v>250</v>
      </c>
      <c r="D24" s="187" t="s">
        <v>68</v>
      </c>
      <c r="E24" s="187" t="s">
        <v>68</v>
      </c>
      <c r="F24" s="171" t="s">
        <v>69</v>
      </c>
      <c r="G24" s="171" t="s">
        <v>70</v>
      </c>
      <c r="H24" s="171" t="s">
        <v>71</v>
      </c>
      <c r="I24" s="171" t="s">
        <v>71</v>
      </c>
      <c r="J24" s="188" t="s">
        <v>72</v>
      </c>
      <c r="K24" s="165"/>
      <c r="L24" s="165"/>
      <c r="M24" s="165"/>
      <c r="N24" s="165"/>
    </row>
    <row r="25" spans="2:14">
      <c r="B25" s="189" t="s">
        <v>73</v>
      </c>
      <c r="C25" s="190">
        <v>1</v>
      </c>
      <c r="D25" s="177" t="s">
        <v>74</v>
      </c>
      <c r="E25" s="177" t="s">
        <v>75</v>
      </c>
      <c r="F25" s="170" t="s">
        <v>76</v>
      </c>
      <c r="G25" s="170" t="s">
        <v>77</v>
      </c>
      <c r="H25" s="170" t="s">
        <v>78</v>
      </c>
      <c r="I25" s="170" t="s">
        <v>79</v>
      </c>
      <c r="J25" s="191" t="s">
        <v>80</v>
      </c>
      <c r="K25" s="165"/>
      <c r="L25" s="165"/>
      <c r="M25" s="165"/>
      <c r="N25" s="165"/>
    </row>
    <row r="26" spans="2:14" ht="14.25" customHeight="1">
      <c r="B26" s="192" t="s">
        <v>81</v>
      </c>
      <c r="C26" s="193">
        <v>700</v>
      </c>
      <c r="D26" s="194">
        <f>IF(D54&gt;=D60,D54,D60)-C26</f>
        <v>217.47180714022818</v>
      </c>
      <c r="E26" s="194">
        <f>IF(E54&gt;=E60,E54,E60)-C26</f>
        <v>186.69198830409357</v>
      </c>
      <c r="F26" s="195">
        <f>IF(F54&gt;=F60,F54,F60)-C26</f>
        <v>225.70517114464485</v>
      </c>
      <c r="G26" s="195">
        <f>IF(G54&gt;=G60,G54,G60)-C26</f>
        <v>122.10000000000014</v>
      </c>
      <c r="H26" s="195">
        <f>IF(H54&gt;=H60,H54,H60)-C26</f>
        <v>-2.5381163434904011</v>
      </c>
      <c r="I26" s="195">
        <f>IF(I54&gt;=I60,I54,I60)-C26</f>
        <v>10.641883656509663</v>
      </c>
      <c r="J26" s="196">
        <f>IF(J54&gt;=J60,J54,J60)-C26</f>
        <v>-310.53668016194331</v>
      </c>
      <c r="K26" s="165"/>
      <c r="L26" s="165"/>
      <c r="M26" s="165"/>
      <c r="N26" s="165"/>
    </row>
    <row r="27" spans="2:14" ht="14.25" customHeight="1">
      <c r="B27" s="197" t="s">
        <v>82</v>
      </c>
      <c r="C27" s="12"/>
      <c r="D27" s="198">
        <f t="shared" ref="D27:J27" si="0">$C$24/D45+0.3</f>
        <v>2.140264998159735</v>
      </c>
      <c r="E27" s="198">
        <f>$C$24/E45+0.3</f>
        <v>2.2493177387914227</v>
      </c>
      <c r="F27" s="199">
        <f t="shared" si="0"/>
        <v>2.140264998159735</v>
      </c>
      <c r="G27" s="199">
        <f>$C$24/G45+0.3</f>
        <v>2.3833333333333333</v>
      </c>
      <c r="H27" s="199">
        <f t="shared" si="0"/>
        <v>2.6084025854108956</v>
      </c>
      <c r="I27" s="199">
        <f t="shared" si="0"/>
        <v>2.6084025854108956</v>
      </c>
      <c r="J27" s="200">
        <f t="shared" si="0"/>
        <v>2.8303643724696355</v>
      </c>
      <c r="K27" s="165"/>
      <c r="L27" s="165"/>
      <c r="M27" s="165"/>
      <c r="N27" s="165"/>
    </row>
    <row r="28" spans="2:14" ht="14.25" customHeight="1">
      <c r="B28" s="201" t="s">
        <v>83</v>
      </c>
      <c r="C28" s="202"/>
      <c r="D28" s="203">
        <f t="shared" ref="D28:J28" si="1">IF((D57*D46+D39&lt;=D31),D57*D46+D39,"Need Fuel Stop")</f>
        <v>41.381365476628631</v>
      </c>
      <c r="E28" s="203">
        <f>IF((E57*E46+E39&lt;=E31),E57*E46+E39,"Need Fuel Stop")</f>
        <v>42.766335282651063</v>
      </c>
      <c r="F28" s="204">
        <f t="shared" si="1"/>
        <v>42.637471475892525</v>
      </c>
      <c r="G28" s="204">
        <f t="shared" si="1"/>
        <v>35.421666666666667</v>
      </c>
      <c r="H28" s="204">
        <f t="shared" si="1"/>
        <v>28.063019390581719</v>
      </c>
      <c r="I28" s="204">
        <f t="shared" si="1"/>
        <v>28.063019390581719</v>
      </c>
      <c r="J28" s="205">
        <f t="shared" si="1"/>
        <v>22.816113360323886</v>
      </c>
      <c r="K28" s="165"/>
      <c r="L28" s="165"/>
      <c r="M28" s="165"/>
      <c r="N28" s="165"/>
    </row>
    <row r="29" spans="2:14" ht="14.25" customHeight="1" thickBot="1">
      <c r="B29" s="206" t="s">
        <v>84</v>
      </c>
      <c r="C29" s="13"/>
      <c r="D29" s="207">
        <f t="shared" ref="D29:J29" si="2">(D27)*D38*1.035</f>
        <v>318.98509532572689</v>
      </c>
      <c r="E29" s="207">
        <f>(E27)*E38*1.035</f>
        <v>335.23831578947363</v>
      </c>
      <c r="F29" s="207">
        <f t="shared" si="2"/>
        <v>318.98509532572689</v>
      </c>
      <c r="G29" s="207">
        <f t="shared" si="2"/>
        <v>246.67499999999998</v>
      </c>
      <c r="H29" s="207">
        <f t="shared" si="2"/>
        <v>251.07179085872573</v>
      </c>
      <c r="I29" s="207">
        <f t="shared" si="2"/>
        <v>251.07179085872573</v>
      </c>
      <c r="J29" s="208">
        <f t="shared" si="2"/>
        <v>225.5658886639676</v>
      </c>
      <c r="K29" s="165"/>
      <c r="L29" s="165"/>
      <c r="M29" s="165"/>
      <c r="N29" s="165"/>
    </row>
    <row r="30" spans="2:14" ht="14.25" customHeight="1">
      <c r="B30" s="209" t="s">
        <v>85</v>
      </c>
      <c r="C30" s="210"/>
      <c r="D30" s="211">
        <f t="shared" ref="D30:J30" si="3">D27*D46+D39</f>
        <v>28.681365476628635</v>
      </c>
      <c r="E30" s="211">
        <f>E27*E46+E39</f>
        <v>30.066335282651067</v>
      </c>
      <c r="F30" s="212">
        <f t="shared" si="3"/>
        <v>29.537471475892527</v>
      </c>
      <c r="G30" s="212">
        <f t="shared" si="3"/>
        <v>25.321666666666665</v>
      </c>
      <c r="H30" s="212">
        <f t="shared" si="3"/>
        <v>20.563019390581719</v>
      </c>
      <c r="I30" s="212">
        <f t="shared" si="3"/>
        <v>20.563019390581719</v>
      </c>
      <c r="J30" s="213">
        <f t="shared" si="3"/>
        <v>17.016113360323885</v>
      </c>
      <c r="K30" s="165"/>
      <c r="L30" s="165"/>
      <c r="M30" s="165"/>
      <c r="N30" s="165"/>
    </row>
    <row r="31" spans="2:14" ht="14.25" customHeight="1">
      <c r="B31" s="189" t="s">
        <v>86</v>
      </c>
      <c r="C31" s="214"/>
      <c r="D31" s="215">
        <v>75</v>
      </c>
      <c r="E31" s="215">
        <v>75</v>
      </c>
      <c r="F31" s="215">
        <v>75</v>
      </c>
      <c r="G31" s="216">
        <v>40</v>
      </c>
      <c r="H31" s="216">
        <v>38</v>
      </c>
      <c r="I31" s="216">
        <v>38</v>
      </c>
      <c r="J31" s="217">
        <v>24.5</v>
      </c>
      <c r="K31" s="165"/>
      <c r="L31" s="165"/>
      <c r="M31" s="165"/>
      <c r="N31" s="165"/>
    </row>
    <row r="32" spans="2:14" ht="14.25" customHeight="1" thickBot="1">
      <c r="B32" s="218" t="s">
        <v>87</v>
      </c>
      <c r="C32" s="219"/>
      <c r="D32" s="220">
        <f t="shared" ref="D32:J32" si="4">IF(D28="need fuel stop",0,D31-D28)</f>
        <v>33.618634523371369</v>
      </c>
      <c r="E32" s="220">
        <f>IF(E28="need fuel stop",0,E31-E28)</f>
        <v>32.233664717348937</v>
      </c>
      <c r="F32" s="221">
        <f t="shared" si="4"/>
        <v>32.362528524107475</v>
      </c>
      <c r="G32" s="221">
        <f>IF(G28="need fuel stop",0,G31-G28)</f>
        <v>4.5783333333333331</v>
      </c>
      <c r="H32" s="221">
        <f t="shared" si="4"/>
        <v>9.9369806094182813</v>
      </c>
      <c r="I32" s="221">
        <f t="shared" si="4"/>
        <v>9.9369806094182813</v>
      </c>
      <c r="J32" s="222">
        <f t="shared" si="4"/>
        <v>1.6838866396761141</v>
      </c>
      <c r="K32" s="165"/>
      <c r="L32" s="165"/>
      <c r="M32" s="165"/>
      <c r="N32" s="165"/>
    </row>
    <row r="33" spans="2:14" ht="14.25" customHeight="1">
      <c r="B33" s="165"/>
      <c r="C33" s="165"/>
      <c r="D33" s="174"/>
      <c r="E33" s="174"/>
      <c r="F33" s="174"/>
      <c r="G33" s="174"/>
      <c r="H33" s="174"/>
      <c r="I33" s="174"/>
      <c r="J33" s="174"/>
      <c r="K33" s="165"/>
      <c r="L33" s="165"/>
      <c r="M33" s="165"/>
      <c r="N33" s="165"/>
    </row>
    <row r="34" spans="2:14">
      <c r="B34" s="165" t="s">
        <v>88</v>
      </c>
      <c r="C34" s="165"/>
      <c r="D34" s="174"/>
      <c r="E34" s="174"/>
      <c r="F34" s="174"/>
      <c r="G34" s="174"/>
      <c r="H34" s="174"/>
      <c r="I34" s="174"/>
      <c r="J34" s="174"/>
      <c r="K34" s="165"/>
      <c r="L34" s="165"/>
      <c r="M34" s="165"/>
      <c r="N34" s="165"/>
    </row>
    <row r="35" spans="2:14">
      <c r="B35" s="173" t="s">
        <v>89</v>
      </c>
      <c r="C35" s="173"/>
      <c r="D35" s="175">
        <v>2.8</v>
      </c>
      <c r="E35" s="175">
        <v>2.8</v>
      </c>
      <c r="F35" s="175">
        <v>2.8</v>
      </c>
      <c r="G35" s="175">
        <v>3.1</v>
      </c>
      <c r="H35" s="175">
        <v>3.4</v>
      </c>
      <c r="I35" s="175">
        <v>3.4</v>
      </c>
      <c r="J35" s="175">
        <v>3.7</v>
      </c>
      <c r="K35" s="165"/>
      <c r="L35" s="165"/>
      <c r="M35" s="165"/>
      <c r="N35" s="165"/>
    </row>
    <row r="36" spans="2:14">
      <c r="B36" s="173" t="s">
        <v>85</v>
      </c>
      <c r="C36" s="173"/>
      <c r="D36" s="176">
        <v>37</v>
      </c>
      <c r="E36" s="176">
        <v>37</v>
      </c>
      <c r="F36" s="176">
        <v>38</v>
      </c>
      <c r="G36" s="176">
        <v>33</v>
      </c>
      <c r="H36" s="176">
        <v>27</v>
      </c>
      <c r="I36" s="176">
        <v>27</v>
      </c>
      <c r="J36" s="176">
        <v>24.5</v>
      </c>
      <c r="K36" s="165"/>
      <c r="L36" s="165"/>
      <c r="M36" s="165"/>
      <c r="N36" s="165"/>
    </row>
    <row r="37" spans="2:14" ht="15" thickBot="1">
      <c r="J37" s="9"/>
      <c r="K37" s="165"/>
      <c r="L37" s="165"/>
      <c r="M37" s="165"/>
      <c r="N37" s="165"/>
    </row>
    <row r="38" spans="2:14">
      <c r="B38" s="164" t="s">
        <v>90</v>
      </c>
      <c r="C38" s="14"/>
      <c r="D38" s="223">
        <v>144</v>
      </c>
      <c r="E38" s="223">
        <v>144</v>
      </c>
      <c r="F38" s="223">
        <v>144</v>
      </c>
      <c r="G38" s="223">
        <v>100</v>
      </c>
      <c r="H38" s="223">
        <v>93</v>
      </c>
      <c r="I38" s="223">
        <v>93</v>
      </c>
      <c r="J38" s="224">
        <v>77</v>
      </c>
      <c r="K38" s="165"/>
      <c r="L38" s="165"/>
      <c r="M38" s="165"/>
      <c r="N38" s="165"/>
    </row>
    <row r="39" spans="2:14" ht="15" thickBot="1">
      <c r="B39" s="225" t="s">
        <v>91</v>
      </c>
      <c r="C39" s="226"/>
      <c r="D39" s="227">
        <v>1.5</v>
      </c>
      <c r="E39" s="227">
        <v>1.5</v>
      </c>
      <c r="F39" s="227">
        <v>1.5</v>
      </c>
      <c r="G39" s="227">
        <v>1.25</v>
      </c>
      <c r="H39" s="227">
        <v>1</v>
      </c>
      <c r="I39" s="227">
        <v>1</v>
      </c>
      <c r="J39" s="228">
        <v>0.6</v>
      </c>
      <c r="K39" s="165"/>
      <c r="L39" s="165"/>
      <c r="M39" s="165"/>
      <c r="N39" s="165"/>
    </row>
    <row r="40" spans="2:14" ht="15" thickTop="1">
      <c r="B40" s="15" t="s">
        <v>92</v>
      </c>
      <c r="C40" s="229"/>
      <c r="D40" s="230" t="s">
        <v>74</v>
      </c>
      <c r="E40" s="230" t="s">
        <v>74</v>
      </c>
      <c r="F40" s="170" t="s">
        <v>76</v>
      </c>
      <c r="G40" s="230" t="str">
        <f>G25</f>
        <v>N1293F</v>
      </c>
      <c r="H40" s="230" t="s">
        <v>78</v>
      </c>
      <c r="I40" s="170" t="s">
        <v>79</v>
      </c>
      <c r="J40" s="231" t="s">
        <v>80</v>
      </c>
      <c r="K40" s="165"/>
      <c r="L40" s="165"/>
      <c r="M40" s="165"/>
      <c r="N40" s="165"/>
    </row>
    <row r="41" spans="2:14">
      <c r="B41" s="16" t="s">
        <v>93</v>
      </c>
      <c r="C41" s="232"/>
      <c r="D41" s="233">
        <v>8000</v>
      </c>
      <c r="E41" s="233">
        <v>8000</v>
      </c>
      <c r="F41" s="216" t="s">
        <v>94</v>
      </c>
      <c r="G41" s="217" t="s">
        <v>95</v>
      </c>
      <c r="H41" s="217" t="s">
        <v>95</v>
      </c>
      <c r="I41" s="217" t="s">
        <v>95</v>
      </c>
      <c r="J41" s="217" t="s">
        <v>95</v>
      </c>
      <c r="K41" s="165"/>
      <c r="L41" s="165"/>
      <c r="M41" s="165"/>
      <c r="N41" s="165"/>
    </row>
    <row r="42" spans="2:14">
      <c r="B42" s="192" t="s">
        <v>96</v>
      </c>
      <c r="C42" s="234"/>
      <c r="D42" s="235">
        <v>0.74</v>
      </c>
      <c r="E42" s="235">
        <v>0.74</v>
      </c>
      <c r="F42" s="235">
        <v>0.71</v>
      </c>
      <c r="G42" s="235">
        <v>0.76</v>
      </c>
      <c r="H42" s="235">
        <v>0.64</v>
      </c>
      <c r="I42" s="235">
        <v>0.64</v>
      </c>
      <c r="J42" s="236">
        <v>0.71</v>
      </c>
      <c r="K42" s="165"/>
      <c r="L42" s="165"/>
      <c r="M42" s="165"/>
      <c r="N42" s="165"/>
    </row>
    <row r="43" spans="2:14">
      <c r="B43" s="192" t="s">
        <v>97</v>
      </c>
      <c r="C43" s="234"/>
      <c r="D43" s="170">
        <v>2400</v>
      </c>
      <c r="E43" s="170">
        <v>2400</v>
      </c>
      <c r="F43" s="170">
        <v>2450</v>
      </c>
      <c r="G43" s="170">
        <v>2650</v>
      </c>
      <c r="H43" s="170">
        <v>2500</v>
      </c>
      <c r="I43" s="170">
        <v>2500</v>
      </c>
      <c r="J43" s="191">
        <v>2500</v>
      </c>
      <c r="K43" s="165"/>
      <c r="L43" s="165"/>
      <c r="M43" s="165"/>
      <c r="N43" s="165"/>
    </row>
    <row r="44" spans="2:14">
      <c r="B44" s="192" t="s">
        <v>98</v>
      </c>
      <c r="C44" s="234"/>
      <c r="D44" s="170" t="s">
        <v>99</v>
      </c>
      <c r="E44" s="170" t="s">
        <v>99</v>
      </c>
      <c r="F44" s="170" t="s">
        <v>99</v>
      </c>
      <c r="G44" s="170" t="s">
        <v>100</v>
      </c>
      <c r="H44" s="170" t="s">
        <v>100</v>
      </c>
      <c r="I44" s="170" t="s">
        <v>100</v>
      </c>
      <c r="J44" s="191" t="s">
        <v>100</v>
      </c>
      <c r="K44" s="165"/>
      <c r="L44" s="165"/>
      <c r="M44" s="165"/>
      <c r="N44" s="165"/>
    </row>
    <row r="45" spans="2:14">
      <c r="B45" s="192" t="s">
        <v>101</v>
      </c>
      <c r="C45" s="237">
        <v>0.95</v>
      </c>
      <c r="D45" s="238">
        <f>143*C45</f>
        <v>135.85</v>
      </c>
      <c r="E45" s="238">
        <f>135*C45</f>
        <v>128.25</v>
      </c>
      <c r="F45" s="238">
        <f>143*$C$45</f>
        <v>135.85</v>
      </c>
      <c r="G45" s="238">
        <v>120</v>
      </c>
      <c r="H45" s="238">
        <f>114*$C$45</f>
        <v>108.3</v>
      </c>
      <c r="I45" s="238">
        <f>114*$C$45</f>
        <v>108.3</v>
      </c>
      <c r="J45" s="239">
        <f>104*C45</f>
        <v>98.8</v>
      </c>
      <c r="K45" s="165"/>
      <c r="L45" s="165"/>
      <c r="M45" s="165"/>
      <c r="N45" s="165"/>
    </row>
    <row r="46" spans="2:14" ht="15" thickBot="1">
      <c r="B46" s="206" t="s">
        <v>102</v>
      </c>
      <c r="C46" s="240"/>
      <c r="D46" s="241">
        <v>12.7</v>
      </c>
      <c r="E46" s="241">
        <v>12.7</v>
      </c>
      <c r="F46" s="241">
        <v>13.1</v>
      </c>
      <c r="G46" s="241">
        <v>10.1</v>
      </c>
      <c r="H46" s="241">
        <v>7.5</v>
      </c>
      <c r="I46" s="241">
        <v>7.5</v>
      </c>
      <c r="J46" s="242">
        <v>5.8</v>
      </c>
      <c r="K46" s="165"/>
      <c r="L46" s="165"/>
      <c r="M46" s="165"/>
      <c r="N46" s="165"/>
    </row>
    <row r="47" spans="2:14">
      <c r="J47" s="9"/>
      <c r="K47" s="165"/>
      <c r="L47" s="165"/>
      <c r="M47" s="165"/>
      <c r="N47" s="165"/>
    </row>
    <row r="48" spans="2:14" ht="15" thickBot="1">
      <c r="B48" s="165" t="s">
        <v>103</v>
      </c>
      <c r="J48" s="9"/>
      <c r="K48" s="165"/>
      <c r="L48" s="165"/>
      <c r="M48" s="165"/>
      <c r="N48" s="165"/>
    </row>
    <row r="49" spans="2:14">
      <c r="B49" s="243" t="s">
        <v>104</v>
      </c>
      <c r="C49" s="244"/>
      <c r="D49" s="171">
        <v>2950</v>
      </c>
      <c r="E49" s="171">
        <v>2950</v>
      </c>
      <c r="F49" s="171">
        <v>2950</v>
      </c>
      <c r="G49" s="171">
        <v>2550</v>
      </c>
      <c r="H49" s="171">
        <v>2300</v>
      </c>
      <c r="I49" s="171">
        <v>2300</v>
      </c>
      <c r="J49" s="188">
        <v>1670</v>
      </c>
      <c r="K49" s="165"/>
      <c r="L49" s="165"/>
      <c r="M49" s="165"/>
      <c r="N49" s="165"/>
    </row>
    <row r="50" spans="2:14">
      <c r="B50" s="192" t="s">
        <v>105</v>
      </c>
      <c r="C50" s="234"/>
      <c r="D50" s="238">
        <f>Empty_Weight</f>
        <v>1793.24</v>
      </c>
      <c r="E50" s="238">
        <f>'N121M-C182Q'!Empty_Weight</f>
        <v>1815.71</v>
      </c>
      <c r="F50" s="238">
        <f>'N9989E-C182P'!Empty_Weight</f>
        <v>1777.47</v>
      </c>
      <c r="G50" s="238">
        <f>'N1293F-C172N'!Empty_Weight</f>
        <v>1507.87</v>
      </c>
      <c r="H50" s="238">
        <f>'N13686-C172M '!Empty_Weight</f>
        <v>1425.16</v>
      </c>
      <c r="I50" s="238">
        <f>'N4464R-C172M'!Empty_Weight</f>
        <v>1411.98</v>
      </c>
      <c r="J50" s="239">
        <f>'N67375-C152 '!Empty_Weight</f>
        <v>1147.24</v>
      </c>
      <c r="K50" s="165"/>
      <c r="L50" s="165"/>
      <c r="M50" s="165"/>
      <c r="N50" s="165"/>
    </row>
    <row r="51" spans="2:14">
      <c r="B51" s="192" t="s">
        <v>106</v>
      </c>
      <c r="C51" s="234"/>
      <c r="D51" s="238">
        <f t="shared" ref="D51:J51" si="5">D49-D50</f>
        <v>1156.76</v>
      </c>
      <c r="E51" s="238">
        <f>E49-E50</f>
        <v>1134.29</v>
      </c>
      <c r="F51" s="238">
        <f t="shared" si="5"/>
        <v>1172.53</v>
      </c>
      <c r="G51" s="238">
        <f>G49-G50</f>
        <v>1042.1300000000001</v>
      </c>
      <c r="H51" s="238">
        <f t="shared" si="5"/>
        <v>874.83999999999992</v>
      </c>
      <c r="I51" s="238">
        <f t="shared" si="5"/>
        <v>888.02</v>
      </c>
      <c r="J51" s="191">
        <f t="shared" si="5"/>
        <v>522.76</v>
      </c>
      <c r="K51" s="165"/>
      <c r="L51" s="165"/>
      <c r="M51" s="165"/>
      <c r="N51" s="165"/>
    </row>
    <row r="52" spans="2:14">
      <c r="B52" s="192" t="s">
        <v>107</v>
      </c>
      <c r="C52" s="234"/>
      <c r="D52" s="238">
        <f t="shared" ref="D52:J52" si="6">D58*6</f>
        <v>239.28819285977178</v>
      </c>
      <c r="E52" s="238">
        <f>E58*6</f>
        <v>247.59801169590639</v>
      </c>
      <c r="F52" s="238">
        <f t="shared" si="6"/>
        <v>246.82482885535515</v>
      </c>
      <c r="G52" s="238">
        <f>G58*6</f>
        <v>205.03</v>
      </c>
      <c r="H52" s="238">
        <f t="shared" si="6"/>
        <v>162.37811634349032</v>
      </c>
      <c r="I52" s="238">
        <f t="shared" si="6"/>
        <v>162.37811634349032</v>
      </c>
      <c r="J52" s="239">
        <f t="shared" si="6"/>
        <v>133.2966801619433</v>
      </c>
      <c r="K52" s="165"/>
      <c r="L52" s="165"/>
      <c r="M52" s="165"/>
      <c r="N52" s="165"/>
    </row>
    <row r="53" spans="2:14">
      <c r="B53" s="192" t="s">
        <v>108</v>
      </c>
      <c r="C53" s="234"/>
      <c r="D53" s="170">
        <v>0</v>
      </c>
      <c r="E53" s="170">
        <v>0</v>
      </c>
      <c r="F53" s="170">
        <v>0</v>
      </c>
      <c r="G53" s="170">
        <v>15</v>
      </c>
      <c r="H53" s="170">
        <v>15</v>
      </c>
      <c r="I53" s="170">
        <v>15</v>
      </c>
      <c r="J53" s="191">
        <v>0</v>
      </c>
      <c r="K53" s="165"/>
      <c r="L53" s="165"/>
      <c r="M53" s="165"/>
      <c r="N53" s="165"/>
    </row>
    <row r="54" spans="2:14" ht="15" thickBot="1">
      <c r="B54" s="206" t="s">
        <v>109</v>
      </c>
      <c r="C54" s="240"/>
      <c r="D54" s="245">
        <f t="shared" ref="D54:J54" si="7">D51-D52-D53</f>
        <v>917.47180714022818</v>
      </c>
      <c r="E54" s="245">
        <f>E51-E52-E53</f>
        <v>886.69198830409357</v>
      </c>
      <c r="F54" s="245">
        <f t="shared" si="7"/>
        <v>925.70517114464485</v>
      </c>
      <c r="G54" s="245">
        <f>G51-G52-G53</f>
        <v>822.10000000000014</v>
      </c>
      <c r="H54" s="245">
        <f t="shared" si="7"/>
        <v>697.4618836565096</v>
      </c>
      <c r="I54" s="245">
        <f t="shared" si="7"/>
        <v>710.64188365650966</v>
      </c>
      <c r="J54" s="246">
        <f t="shared" si="7"/>
        <v>389.46331983805669</v>
      </c>
      <c r="K54" s="165"/>
      <c r="L54" s="165"/>
      <c r="M54" s="165"/>
      <c r="N54" s="165"/>
    </row>
    <row r="55" spans="2:14">
      <c r="B55" s="165"/>
      <c r="C55" s="165"/>
      <c r="D55" s="247"/>
      <c r="E55" s="247"/>
      <c r="F55" s="247"/>
      <c r="G55" s="247"/>
      <c r="H55" s="247"/>
      <c r="I55" s="247"/>
      <c r="J55" s="247"/>
      <c r="K55" s="165"/>
      <c r="L55" s="165"/>
      <c r="M55" s="165"/>
      <c r="N55" s="165"/>
    </row>
    <row r="56" spans="2:14" ht="15" thickBot="1">
      <c r="B56" s="165" t="s">
        <v>110</v>
      </c>
      <c r="C56" s="165"/>
      <c r="D56" s="247"/>
      <c r="E56" s="247"/>
      <c r="F56" s="247"/>
      <c r="G56" s="247"/>
      <c r="H56" s="247"/>
      <c r="I56" s="247"/>
      <c r="J56" s="247"/>
      <c r="K56" s="165"/>
      <c r="L56" s="165"/>
    </row>
    <row r="57" spans="2:14" ht="14" customHeight="1">
      <c r="B57" s="243" t="s">
        <v>111</v>
      </c>
      <c r="C57" s="244"/>
      <c r="D57" s="248">
        <f t="shared" ref="D57:J57" si="8">D27+$C$25</f>
        <v>3.140264998159735</v>
      </c>
      <c r="E57" s="248">
        <f>E27+$C$25</f>
        <v>3.2493177387914227</v>
      </c>
      <c r="F57" s="248">
        <f t="shared" si="8"/>
        <v>3.140264998159735</v>
      </c>
      <c r="G57" s="248">
        <f t="shared" si="8"/>
        <v>3.3833333333333333</v>
      </c>
      <c r="H57" s="248">
        <f t="shared" si="8"/>
        <v>3.6084025854108956</v>
      </c>
      <c r="I57" s="248">
        <f t="shared" si="8"/>
        <v>3.6084025854108956</v>
      </c>
      <c r="J57" s="249">
        <f t="shared" si="8"/>
        <v>3.8303643724696355</v>
      </c>
      <c r="K57" s="165"/>
      <c r="L57" s="165"/>
    </row>
    <row r="58" spans="2:14" ht="14" customHeight="1">
      <c r="B58" s="192" t="s">
        <v>112</v>
      </c>
      <c r="C58" s="234"/>
      <c r="D58" s="238">
        <f t="shared" ref="D58:J58" si="9">IF(D28="need fuel stop",D31-D39,D28-D39)</f>
        <v>39.881365476628631</v>
      </c>
      <c r="E58" s="238">
        <f>IF(E28="need fuel stop",E31-E39,E28-E39)</f>
        <v>41.266335282651063</v>
      </c>
      <c r="F58" s="238">
        <f t="shared" si="9"/>
        <v>41.137471475892525</v>
      </c>
      <c r="G58" s="238">
        <f t="shared" si="9"/>
        <v>34.171666666666667</v>
      </c>
      <c r="H58" s="238">
        <f t="shared" si="9"/>
        <v>27.063019390581719</v>
      </c>
      <c r="I58" s="238">
        <f t="shared" si="9"/>
        <v>27.063019390581719</v>
      </c>
      <c r="J58" s="239">
        <f t="shared" si="9"/>
        <v>22.216113360323885</v>
      </c>
    </row>
    <row r="59" spans="2:14" ht="14" customHeight="1">
      <c r="B59" s="192" t="s">
        <v>113</v>
      </c>
      <c r="C59" s="17"/>
      <c r="D59" s="170">
        <f t="shared" ref="D59:J59" si="10">(D31-D39)*6</f>
        <v>441</v>
      </c>
      <c r="E59" s="170">
        <f>(E31-E39)*6</f>
        <v>441</v>
      </c>
      <c r="F59" s="170">
        <f t="shared" si="10"/>
        <v>441</v>
      </c>
      <c r="G59" s="170">
        <f t="shared" si="10"/>
        <v>232.5</v>
      </c>
      <c r="H59" s="170">
        <f t="shared" si="10"/>
        <v>222</v>
      </c>
      <c r="I59" s="170">
        <f t="shared" si="10"/>
        <v>222</v>
      </c>
      <c r="J59" s="191">
        <f t="shared" si="10"/>
        <v>143.39999999999998</v>
      </c>
    </row>
    <row r="60" spans="2:14" ht="15" thickBot="1">
      <c r="B60" s="206" t="s">
        <v>114</v>
      </c>
      <c r="C60" s="240"/>
      <c r="D60" s="245">
        <f t="shared" ref="D60:J60" si="11">D51-D59</f>
        <v>715.76</v>
      </c>
      <c r="E60" s="245">
        <f>E51-E59</f>
        <v>693.29</v>
      </c>
      <c r="F60" s="245">
        <f t="shared" si="11"/>
        <v>731.53</v>
      </c>
      <c r="G60" s="245">
        <f>G51-G59</f>
        <v>809.63000000000011</v>
      </c>
      <c r="H60" s="245">
        <f t="shared" si="11"/>
        <v>652.83999999999992</v>
      </c>
      <c r="I60" s="245">
        <f t="shared" si="11"/>
        <v>666.02</v>
      </c>
      <c r="J60" s="246">
        <f t="shared" si="11"/>
        <v>379.36</v>
      </c>
    </row>
    <row r="61" spans="2:14">
      <c r="I61"/>
    </row>
    <row r="62" spans="2:14">
      <c r="C62" s="165"/>
      <c r="I62"/>
    </row>
    <row r="63" spans="2:14">
      <c r="I63"/>
    </row>
    <row r="64" spans="2:14">
      <c r="I64"/>
    </row>
    <row r="65" spans="9:9">
      <c r="I65"/>
    </row>
  </sheetData>
  <sheetProtection sheet="1" selectLockedCells="1"/>
  <mergeCells count="2">
    <mergeCell ref="B4:I18"/>
    <mergeCell ref="B19:I22"/>
  </mergeCells>
  <phoneticPr fontId="15" type="noConversion"/>
  <printOptions gridLines="1"/>
  <pageMargins left="0.74791666666666667" right="0.74791666666666667" top="0.98402777777777772" bottom="0.98402777777777772" header="0.51180555555555551" footer="0.51180555555555551"/>
  <pageSetup scale="96" firstPageNumber="0" orientation="landscape"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74F32-31F2-0D47-B680-D815B31D1F12}">
  <sheetPr>
    <pageSetUpPr fitToPage="1"/>
  </sheetPr>
  <dimension ref="A1:AF126"/>
  <sheetViews>
    <sheetView showGridLines="0" showRowColHeaders="0" showZeros="0" tabSelected="1" showOutlineSymbols="0" topLeftCell="A3" zoomScale="180" zoomScaleNormal="180" workbookViewId="0">
      <selection activeCell="J3" sqref="J3"/>
    </sheetView>
  </sheetViews>
  <sheetFormatPr baseColWidth="10" defaultColWidth="8" defaultRowHeight="11"/>
  <cols>
    <col min="1" max="1" width="8" style="18" customWidth="1"/>
    <col min="2" max="2" width="8.1640625" style="19" customWidth="1"/>
    <col min="3" max="3" width="6.6640625" style="20" customWidth="1"/>
    <col min="4" max="5" width="6.6640625" style="21" customWidth="1"/>
    <col min="6" max="6" width="6.6640625" style="22" customWidth="1"/>
    <col min="7" max="7" width="6.6640625" style="21" customWidth="1"/>
    <col min="8" max="8" width="6.6640625" style="22" customWidth="1"/>
    <col min="9" max="9" width="6.6640625" style="20" customWidth="1"/>
    <col min="10" max="10" width="9.6640625" style="20" customWidth="1"/>
    <col min="11" max="11" width="6.6640625" style="20" customWidth="1"/>
    <col min="12" max="12" width="5.6640625" style="20" customWidth="1"/>
    <col min="13" max="13" width="6.6640625" style="20" customWidth="1"/>
    <col min="14" max="14" width="8.6640625" style="20" customWidth="1"/>
    <col min="15" max="16" width="6.6640625" style="23" customWidth="1"/>
    <col min="17" max="17" width="5.5" style="20" customWidth="1"/>
    <col min="18" max="18" width="7.33203125" style="20" customWidth="1"/>
    <col min="19" max="19" width="6.33203125" style="24" customWidth="1"/>
    <col min="20" max="20" width="6.1640625" style="25" customWidth="1"/>
    <col min="21" max="21" width="6.5" style="26" customWidth="1"/>
    <col min="22" max="31" width="8" style="18" customWidth="1"/>
    <col min="32" max="16384" width="8" style="18"/>
  </cols>
  <sheetData>
    <row r="1" spans="1:32" s="31" customFormat="1" ht="14" thickBot="1">
      <c r="A1" s="18"/>
      <c r="B1" s="27"/>
      <c r="C1" s="28"/>
      <c r="D1" s="18"/>
      <c r="E1" s="18"/>
      <c r="F1" s="29"/>
      <c r="G1" s="18"/>
      <c r="H1" s="29"/>
      <c r="I1" s="28"/>
      <c r="J1" s="28"/>
      <c r="K1" s="28"/>
      <c r="L1" s="28"/>
      <c r="M1" s="28"/>
      <c r="N1" s="28"/>
      <c r="O1" s="30"/>
      <c r="P1" s="30"/>
      <c r="R1" s="165" t="s">
        <v>115</v>
      </c>
      <c r="S1" s="28"/>
      <c r="T1" s="32"/>
      <c r="U1" s="32"/>
      <c r="V1" s="33"/>
      <c r="W1" s="34"/>
      <c r="X1" s="35"/>
    </row>
    <row r="2" spans="1:32" s="31" customFormat="1" ht="16" thickTop="1" thickBot="1">
      <c r="B2" s="36" t="s">
        <v>116</v>
      </c>
      <c r="C2" s="37"/>
      <c r="D2" s="38"/>
      <c r="E2" s="38"/>
      <c r="F2" s="39"/>
      <c r="G2" s="38"/>
      <c r="H2" s="38"/>
      <c r="I2" s="39"/>
      <c r="J2" s="38"/>
      <c r="K2" s="39"/>
      <c r="L2" s="37"/>
      <c r="M2" s="37"/>
      <c r="N2" s="37"/>
      <c r="O2" s="40"/>
      <c r="P2" s="32"/>
      <c r="R2" s="165" t="s">
        <v>117</v>
      </c>
      <c r="S2"/>
      <c r="T2"/>
      <c r="U2"/>
      <c r="V2"/>
      <c r="W2"/>
      <c r="X2"/>
    </row>
    <row r="3" spans="1:32" s="31" customFormat="1" ht="15" thickBot="1">
      <c r="B3" s="41"/>
      <c r="C3" s="42" t="s">
        <v>118</v>
      </c>
      <c r="D3" s="43" t="s">
        <v>75</v>
      </c>
      <c r="E3" s="44"/>
      <c r="F3" s="45" t="s">
        <v>119</v>
      </c>
      <c r="G3" s="46" t="s">
        <v>120</v>
      </c>
      <c r="H3" s="44"/>
      <c r="I3" s="45" t="s">
        <v>121</v>
      </c>
      <c r="J3" s="47">
        <v>45418</v>
      </c>
      <c r="K3" s="48"/>
      <c r="L3" s="49" t="s">
        <v>122</v>
      </c>
      <c r="M3" s="50">
        <v>0.3125</v>
      </c>
      <c r="N3" s="48" t="s">
        <v>123</v>
      </c>
      <c r="O3" s="51">
        <v>0.5</v>
      </c>
      <c r="P3" s="32"/>
      <c r="R3" s="165" t="s">
        <v>124</v>
      </c>
      <c r="S3"/>
      <c r="T3"/>
      <c r="U3"/>
      <c r="V3"/>
      <c r="W3"/>
      <c r="X3"/>
    </row>
    <row r="4" spans="1:32" s="31" customFormat="1" ht="16" thickTop="1" thickBot="1">
      <c r="F4" s="52"/>
      <c r="J4" s="53"/>
      <c r="K4" s="54"/>
      <c r="L4" s="55"/>
      <c r="M4" s="53"/>
      <c r="N4" s="54"/>
      <c r="O4" s="56"/>
      <c r="P4" s="32"/>
      <c r="R4" s="165" t="s">
        <v>125</v>
      </c>
      <c r="S4"/>
      <c r="T4"/>
      <c r="U4"/>
      <c r="V4"/>
      <c r="W4"/>
      <c r="X4"/>
    </row>
    <row r="5" spans="1:32" s="31" customFormat="1" ht="16" thickTop="1" thickBot="1">
      <c r="B5" s="169" t="s">
        <v>126</v>
      </c>
      <c r="C5" s="57"/>
      <c r="D5" s="57"/>
      <c r="E5" s="58"/>
      <c r="F5" s="250">
        <v>60</v>
      </c>
      <c r="N5" s="35"/>
      <c r="O5" s="32"/>
      <c r="P5" s="32"/>
      <c r="R5" s="165" t="s">
        <v>127</v>
      </c>
      <c r="S5"/>
      <c r="T5"/>
      <c r="U5"/>
      <c r="V5"/>
      <c r="W5"/>
      <c r="X5"/>
      <c r="AA5" s="36" t="s">
        <v>128</v>
      </c>
      <c r="AB5" s="37"/>
      <c r="AC5" s="38"/>
      <c r="AD5" s="38"/>
      <c r="AE5" s="40"/>
    </row>
    <row r="6" spans="1:32" s="31" customFormat="1" ht="14">
      <c r="B6" s="169" t="s">
        <v>129</v>
      </c>
      <c r="C6" s="57"/>
      <c r="D6" s="57"/>
      <c r="E6" s="58"/>
      <c r="F6" s="250">
        <v>3.5</v>
      </c>
      <c r="G6" s="32" t="s">
        <v>130</v>
      </c>
      <c r="J6" s="59" t="s">
        <v>131</v>
      </c>
      <c r="K6" s="60"/>
      <c r="L6" s="61"/>
      <c r="M6" s="62"/>
      <c r="N6" s="35"/>
      <c r="O6" s="32"/>
      <c r="P6" s="32"/>
      <c r="R6" s="165" t="s">
        <v>132</v>
      </c>
      <c r="S6"/>
      <c r="T6"/>
      <c r="U6"/>
      <c r="V6"/>
      <c r="W6"/>
      <c r="X6"/>
      <c r="AA6" s="270" t="s">
        <v>133</v>
      </c>
      <c r="AB6" s="270"/>
      <c r="AC6" s="63"/>
      <c r="AD6" s="271" t="s">
        <v>134</v>
      </c>
      <c r="AE6" s="271"/>
    </row>
    <row r="7" spans="1:32" s="31" customFormat="1" ht="14">
      <c r="B7" s="169" t="s">
        <v>135</v>
      </c>
      <c r="C7" s="57"/>
      <c r="D7" s="57"/>
      <c r="E7" s="58"/>
      <c r="F7" s="251">
        <f>Front_Passengers+Rear_Passengers+F16+F17+Baggage_1+Baggage_2</f>
        <v>780</v>
      </c>
      <c r="G7" s="32"/>
      <c r="J7" s="252" t="s">
        <v>136</v>
      </c>
      <c r="K7" s="253"/>
      <c r="L7" s="254"/>
      <c r="M7" s="255">
        <v>2950</v>
      </c>
      <c r="N7" s="35"/>
      <c r="O7" s="32"/>
      <c r="P7" s="32"/>
      <c r="R7" s="165" t="s">
        <v>137</v>
      </c>
      <c r="S7"/>
      <c r="T7"/>
      <c r="U7"/>
      <c r="V7"/>
      <c r="W7"/>
      <c r="X7"/>
      <c r="AA7" s="64" t="s">
        <v>138</v>
      </c>
      <c r="AB7" s="65" t="s">
        <v>139</v>
      </c>
      <c r="AC7" s="66"/>
      <c r="AD7" s="67" t="s">
        <v>140</v>
      </c>
      <c r="AE7" s="68" t="s">
        <v>139</v>
      </c>
    </row>
    <row r="8" spans="1:32" s="31" customFormat="1" ht="15" thickBot="1">
      <c r="B8" s="166" t="s">
        <v>141</v>
      </c>
      <c r="C8" s="57"/>
      <c r="D8" s="256"/>
      <c r="E8" s="257"/>
      <c r="F8" s="251">
        <f>(Departure_Fuel)/12.7</f>
        <v>4.6456692913385833</v>
      </c>
      <c r="G8" s="32" t="s">
        <v>130</v>
      </c>
      <c r="J8" s="258" t="s">
        <v>142</v>
      </c>
      <c r="K8" s="69"/>
      <c r="L8" s="70"/>
      <c r="M8" s="259">
        <f>Total_Departure_Weight</f>
        <v>2949.71</v>
      </c>
      <c r="N8" s="71">
        <f>M8/M7</f>
        <v>0.99990169491525427</v>
      </c>
      <c r="O8" s="32" t="s">
        <v>143</v>
      </c>
      <c r="P8" s="32"/>
      <c r="R8" s="165" t="s">
        <v>144</v>
      </c>
      <c r="S8"/>
      <c r="T8"/>
      <c r="U8"/>
      <c r="V8"/>
      <c r="W8"/>
      <c r="X8"/>
      <c r="AA8" s="72">
        <v>59.5</v>
      </c>
      <c r="AB8" s="73">
        <v>1800</v>
      </c>
      <c r="AC8" s="74"/>
      <c r="AD8" s="75">
        <v>33</v>
      </c>
      <c r="AE8" s="76">
        <v>1800</v>
      </c>
    </row>
    <row r="9" spans="1:32" s="31" customFormat="1" ht="14" thickTop="1">
      <c r="B9" s="166" t="s">
        <v>145</v>
      </c>
      <c r="C9" s="57"/>
      <c r="D9" s="256"/>
      <c r="E9" s="257"/>
      <c r="F9" s="260">
        <f>F8-F6</f>
        <v>1.1456692913385833</v>
      </c>
      <c r="G9" s="32" t="s">
        <v>130</v>
      </c>
      <c r="J9" s="261" t="s">
        <v>146</v>
      </c>
      <c r="K9" s="77"/>
      <c r="L9" s="78"/>
      <c r="M9" s="79">
        <f>M7-M8</f>
        <v>0.28999999999996362</v>
      </c>
      <c r="N9" s="80"/>
      <c r="O9" s="32"/>
      <c r="P9" s="81"/>
      <c r="R9" s="81"/>
      <c r="S9" s="81"/>
      <c r="T9" s="81"/>
      <c r="AA9" s="72">
        <v>74</v>
      </c>
      <c r="AB9" s="73">
        <v>2250</v>
      </c>
      <c r="AC9" s="74"/>
      <c r="AD9" s="75">
        <v>33</v>
      </c>
      <c r="AE9" s="76">
        <v>2250</v>
      </c>
    </row>
    <row r="10" spans="1:32" s="31" customFormat="1" ht="13">
      <c r="B10" s="167" t="s">
        <v>147</v>
      </c>
      <c r="C10" s="32"/>
      <c r="D10" s="32"/>
      <c r="G10" s="54"/>
      <c r="I10" s="54"/>
      <c r="J10" s="32"/>
      <c r="K10" s="32"/>
      <c r="L10" s="32"/>
      <c r="M10" s="32"/>
      <c r="O10" s="82"/>
      <c r="P10" s="81"/>
      <c r="R10" s="81"/>
      <c r="S10" s="81"/>
      <c r="T10" s="81"/>
      <c r="AA10" s="72">
        <v>116.6</v>
      </c>
      <c r="AB10" s="73">
        <v>2950</v>
      </c>
      <c r="AC10" s="74"/>
      <c r="AD10" s="75">
        <v>39.5</v>
      </c>
      <c r="AE10" s="76">
        <v>2950</v>
      </c>
    </row>
    <row r="11" spans="1:32" s="31" customFormat="1" ht="14" thickBot="1">
      <c r="B11" s="167"/>
      <c r="C11" s="32"/>
      <c r="D11" s="32"/>
      <c r="G11" s="54"/>
      <c r="I11" s="54"/>
      <c r="J11" s="32"/>
      <c r="K11" s="32"/>
      <c r="L11" s="32"/>
      <c r="M11" s="32"/>
      <c r="O11" s="82"/>
      <c r="P11" s="81"/>
      <c r="R11" s="81"/>
      <c r="S11" s="81"/>
      <c r="T11" s="81"/>
      <c r="AA11" s="72">
        <v>143</v>
      </c>
      <c r="AB11" s="73">
        <v>2950</v>
      </c>
      <c r="AC11" s="74"/>
      <c r="AD11" s="75">
        <v>48.5</v>
      </c>
      <c r="AE11" s="76">
        <v>2950</v>
      </c>
    </row>
    <row r="12" spans="1:32" s="31" customFormat="1" ht="14" thickTop="1" thickBot="1">
      <c r="B12" s="36" t="s">
        <v>148</v>
      </c>
      <c r="C12" s="37"/>
      <c r="D12" s="38"/>
      <c r="E12" s="38"/>
      <c r="F12" s="38"/>
      <c r="G12" s="39"/>
      <c r="H12" s="40"/>
      <c r="K12" s="36" t="s">
        <v>149</v>
      </c>
      <c r="L12" s="37"/>
      <c r="M12" s="38"/>
      <c r="N12" s="38"/>
      <c r="O12" s="39"/>
      <c r="P12" s="40"/>
      <c r="R12" s="81"/>
      <c r="S12" s="83"/>
      <c r="T12" s="31" t="s">
        <v>150</v>
      </c>
      <c r="AA12" s="72">
        <v>87</v>
      </c>
      <c r="AB12" s="73">
        <v>1800</v>
      </c>
      <c r="AC12" s="74"/>
      <c r="AD12" s="84">
        <v>48.5</v>
      </c>
      <c r="AE12" s="85">
        <v>1800</v>
      </c>
    </row>
    <row r="13" spans="1:32" s="31" customFormat="1" ht="12.75" customHeight="1" thickTop="1">
      <c r="B13" s="272" t="s">
        <v>151</v>
      </c>
      <c r="C13" s="272"/>
      <c r="D13" s="272"/>
      <c r="E13" s="86" t="s">
        <v>139</v>
      </c>
      <c r="F13" s="87"/>
      <c r="G13" s="88" t="s">
        <v>152</v>
      </c>
      <c r="H13" s="89" t="s">
        <v>138</v>
      </c>
      <c r="K13" s="272" t="s">
        <v>151</v>
      </c>
      <c r="L13" s="272"/>
      <c r="M13" s="272"/>
      <c r="N13" s="86" t="s">
        <v>139</v>
      </c>
      <c r="O13" s="88" t="s">
        <v>152</v>
      </c>
      <c r="P13" s="89" t="s">
        <v>138</v>
      </c>
      <c r="Q13" s="81"/>
      <c r="R13" s="81"/>
      <c r="S13" s="81"/>
      <c r="T13" s="81"/>
      <c r="AB13" s="90"/>
      <c r="AC13" s="90"/>
      <c r="AD13" s="90"/>
    </row>
    <row r="14" spans="1:32" s="31" customFormat="1" ht="13" thickBot="1">
      <c r="B14" s="91"/>
      <c r="C14" s="32"/>
      <c r="E14" s="92" t="s">
        <v>153</v>
      </c>
      <c r="F14" s="93"/>
      <c r="G14" s="94" t="s">
        <v>154</v>
      </c>
      <c r="H14" s="95" t="s">
        <v>155</v>
      </c>
      <c r="K14" s="91"/>
      <c r="L14" s="32"/>
      <c r="N14" s="92" t="s">
        <v>153</v>
      </c>
      <c r="O14" s="94" t="s">
        <v>154</v>
      </c>
      <c r="P14" s="95" t="s">
        <v>155</v>
      </c>
      <c r="Q14" s="81"/>
      <c r="S14" s="81"/>
      <c r="T14" s="35"/>
    </row>
    <row r="15" spans="1:32" s="31" customFormat="1" ht="13" thickTop="1">
      <c r="B15" s="96"/>
      <c r="C15" s="97"/>
      <c r="D15" s="98" t="s">
        <v>156</v>
      </c>
      <c r="E15" s="182">
        <v>1815.71</v>
      </c>
      <c r="F15" s="180"/>
      <c r="G15" s="181">
        <f>IF(Empty_Weight,Empty_Moment*1000/Empty_Weight,"")</f>
        <v>37.321262756717758</v>
      </c>
      <c r="H15" s="183">
        <v>67.764589999999998</v>
      </c>
      <c r="K15" s="96"/>
      <c r="L15" s="97"/>
      <c r="M15" s="98" t="s">
        <v>156</v>
      </c>
      <c r="N15" s="99">
        <f>Empty_Weight</f>
        <v>1815.71</v>
      </c>
      <c r="O15" s="101">
        <f>Empty_Arm</f>
        <v>37.321262756717758</v>
      </c>
      <c r="P15" s="102">
        <f>Empty_Moment</f>
        <v>67.764589999999998</v>
      </c>
      <c r="Q15" s="81"/>
      <c r="S15" s="54"/>
      <c r="T15" s="35"/>
      <c r="W15" s="35"/>
    </row>
    <row r="16" spans="1:32" s="31" customFormat="1" ht="12">
      <c r="B16" s="103"/>
      <c r="C16" s="104"/>
      <c r="D16" s="105" t="s">
        <v>157</v>
      </c>
      <c r="E16" s="106">
        <v>230</v>
      </c>
      <c r="F16" s="107">
        <v>210</v>
      </c>
      <c r="G16" s="108">
        <v>37</v>
      </c>
      <c r="H16" s="109">
        <f>(Front_Passengers+F16)*Front_Passenger_Arm/1000</f>
        <v>16.28</v>
      </c>
      <c r="K16" s="103"/>
      <c r="L16" s="104"/>
      <c r="M16" s="105" t="s">
        <v>157</v>
      </c>
      <c r="N16" s="110">
        <f>Front_Passengers+F16</f>
        <v>440</v>
      </c>
      <c r="O16" s="108">
        <f>Front_Passenger_Arm</f>
        <v>37</v>
      </c>
      <c r="P16" s="109">
        <f>Front_Passenger_Moment</f>
        <v>16.28</v>
      </c>
      <c r="Q16" s="81"/>
      <c r="S16" s="54"/>
      <c r="T16" s="35"/>
      <c r="W16" s="18"/>
      <c r="AA16" s="18"/>
      <c r="AB16" s="18"/>
      <c r="AC16" s="18"/>
      <c r="AD16" s="18"/>
      <c r="AE16" s="18"/>
      <c r="AF16" s="18"/>
    </row>
    <row r="17" spans="2:21" ht="12">
      <c r="B17" s="111"/>
      <c r="C17" s="104"/>
      <c r="D17" s="112" t="s">
        <v>158</v>
      </c>
      <c r="E17" s="106">
        <v>160</v>
      </c>
      <c r="F17" s="107">
        <v>150</v>
      </c>
      <c r="G17" s="108">
        <v>74</v>
      </c>
      <c r="H17" s="109">
        <f>(Rear_Passengers+F17)*Rear_Passenger_Arm/1000</f>
        <v>22.94</v>
      </c>
      <c r="I17" s="31"/>
      <c r="J17" s="31"/>
      <c r="K17" s="111"/>
      <c r="L17" s="104"/>
      <c r="M17" s="112" t="s">
        <v>158</v>
      </c>
      <c r="N17" s="110">
        <f>Rear_Passengers+F17</f>
        <v>310</v>
      </c>
      <c r="O17" s="108">
        <f>Rear_Passenger_Arm</f>
        <v>74</v>
      </c>
      <c r="P17" s="109">
        <f>Rear_Passenger_Moment</f>
        <v>22.94</v>
      </c>
      <c r="Q17" s="81"/>
      <c r="R17" s="31"/>
      <c r="S17" s="54"/>
      <c r="T17" s="113"/>
      <c r="U17" s="18"/>
    </row>
    <row r="18" spans="2:21" ht="12">
      <c r="B18" s="114"/>
      <c r="C18" s="104"/>
      <c r="D18" s="112" t="s">
        <v>159</v>
      </c>
      <c r="E18" s="106">
        <v>30</v>
      </c>
      <c r="F18" s="115"/>
      <c r="G18" s="108">
        <v>97</v>
      </c>
      <c r="H18" s="109">
        <f>Baggage_1*Baggage_1_Arm/1000</f>
        <v>2.91</v>
      </c>
      <c r="I18" s="31"/>
      <c r="J18" s="31"/>
      <c r="K18" s="114"/>
      <c r="L18" s="104"/>
      <c r="M18" s="112" t="s">
        <v>160</v>
      </c>
      <c r="N18" s="110">
        <f>Baggage_1</f>
        <v>30</v>
      </c>
      <c r="O18" s="108">
        <f>Baggage_1_Arm</f>
        <v>97</v>
      </c>
      <c r="P18" s="109">
        <f>Baggage_1_Moment</f>
        <v>2.91</v>
      </c>
      <c r="Q18" s="31"/>
      <c r="R18" s="28"/>
      <c r="S18" s="28"/>
      <c r="T18" s="113"/>
      <c r="U18" s="18"/>
    </row>
    <row r="19" spans="2:21" ht="12">
      <c r="B19" s="114"/>
      <c r="C19" s="104"/>
      <c r="D19" s="112" t="s">
        <v>161</v>
      </c>
      <c r="E19" s="106"/>
      <c r="F19" s="116"/>
      <c r="G19" s="108">
        <v>115</v>
      </c>
      <c r="H19" s="109">
        <f>Baggage_2*Baggage_2_Arm/1000</f>
        <v>0</v>
      </c>
      <c r="I19" s="31"/>
      <c r="J19" s="18"/>
      <c r="K19" s="114"/>
      <c r="L19" s="104"/>
      <c r="M19" s="112" t="s">
        <v>162</v>
      </c>
      <c r="N19" s="110">
        <f>Baggage_2</f>
        <v>0</v>
      </c>
      <c r="O19" s="108">
        <f>Baggage_2_Arm</f>
        <v>115</v>
      </c>
      <c r="P19" s="109">
        <f>Baggage_2_Moment</f>
        <v>0</v>
      </c>
      <c r="Q19" s="31"/>
      <c r="R19" s="28"/>
      <c r="S19" s="28"/>
      <c r="T19" s="18"/>
      <c r="U19" s="18"/>
    </row>
    <row r="20" spans="2:21" ht="13" thickBot="1">
      <c r="B20" s="111"/>
      <c r="C20" s="117" t="s">
        <v>163</v>
      </c>
      <c r="D20" s="108">
        <f>F5-Grnd_Ops_Fuel</f>
        <v>59</v>
      </c>
      <c r="E20" s="110">
        <f>(Departure_Fuel)*6</f>
        <v>354</v>
      </c>
      <c r="F20" s="118"/>
      <c r="G20" s="108">
        <v>47.916666666666664</v>
      </c>
      <c r="H20" s="109">
        <f>Departure_Fuel_Weight*Fuel_Arm/1000</f>
        <v>16.962499999999999</v>
      </c>
      <c r="I20" s="31"/>
      <c r="J20" s="18"/>
      <c r="K20" s="119"/>
      <c r="L20" s="117" t="s">
        <v>164</v>
      </c>
      <c r="M20" s="108">
        <f>Departure_Fuel-F6*12.7</f>
        <v>14.550000000000004</v>
      </c>
      <c r="N20" s="110">
        <f>Arrival_Fuel*6</f>
        <v>87.300000000000026</v>
      </c>
      <c r="O20" s="108">
        <f>Fuel_Arm</f>
        <v>47.916666666666664</v>
      </c>
      <c r="P20" s="109">
        <f>Arrival_Fuel_Weight*Fuel_Arm/1000</f>
        <v>4.1831250000000013</v>
      </c>
      <c r="Q20" s="31"/>
      <c r="R20" s="18"/>
      <c r="S20" s="18"/>
      <c r="T20" s="18"/>
      <c r="U20" s="18"/>
    </row>
    <row r="21" spans="2:21" ht="13" thickBot="1">
      <c r="B21" s="111"/>
      <c r="C21" s="117" t="s">
        <v>165</v>
      </c>
      <c r="D21" s="120">
        <v>1</v>
      </c>
      <c r="E21" s="110"/>
      <c r="F21" s="118"/>
      <c r="G21" s="108"/>
      <c r="H21" s="109">
        <f>Grnd_Ops_Fuel_Weight*Fuel_Arm/1000</f>
        <v>0</v>
      </c>
      <c r="I21" s="54"/>
      <c r="J21" s="18"/>
      <c r="K21" s="121"/>
      <c r="L21" s="122"/>
      <c r="M21" s="123" t="s">
        <v>166</v>
      </c>
      <c r="N21" s="124">
        <f>SUM(N15:N20)</f>
        <v>2683.01</v>
      </c>
      <c r="O21" s="125">
        <f>IF(Total_Arrival_Weight,Total_Arrival_Moment*1000/Total_Arrival_Weight,"")</f>
        <v>42.5185575156261</v>
      </c>
      <c r="P21" s="126">
        <f>SUM(P15:P20)</f>
        <v>114.077715</v>
      </c>
      <c r="Q21" s="30"/>
      <c r="R21" s="18"/>
      <c r="S21" s="18"/>
      <c r="T21" s="18"/>
      <c r="U21" s="18"/>
    </row>
    <row r="22" spans="2:21" ht="13" thickBot="1">
      <c r="B22" s="121"/>
      <c r="C22" s="122"/>
      <c r="D22" s="123" t="s">
        <v>166</v>
      </c>
      <c r="E22" s="124">
        <f>SUM(E15:E21)+F16+F17</f>
        <v>2949.71</v>
      </c>
      <c r="F22" s="127"/>
      <c r="G22" s="125">
        <f>IF(Total_Departure_Weight,Total_Departure_Moment*1000/Total_Departure_Weight,"")</f>
        <v>43.006631160351354</v>
      </c>
      <c r="H22" s="126">
        <f>SUM(H15:H21)</f>
        <v>126.85709</v>
      </c>
      <c r="I22" s="54"/>
      <c r="J22" s="18"/>
      <c r="K22" s="128"/>
      <c r="L22" s="129"/>
      <c r="M22" s="130"/>
      <c r="N22" s="130"/>
      <c r="O22" s="131" t="s">
        <v>167</v>
      </c>
      <c r="P22" s="132">
        <f>Total_Arrival_Arm</f>
        <v>42.5185575156261</v>
      </c>
      <c r="Q22" s="30"/>
      <c r="R22" s="18"/>
      <c r="S22" s="18"/>
      <c r="T22" s="18"/>
      <c r="U22" s="18"/>
    </row>
    <row r="23" spans="2:21" ht="14" thickTop="1" thickBot="1">
      <c r="B23" s="128"/>
      <c r="C23" s="129"/>
      <c r="D23" s="130"/>
      <c r="E23" s="130"/>
      <c r="F23" s="130"/>
      <c r="G23" s="131" t="s">
        <v>167</v>
      </c>
      <c r="H23" s="132">
        <f>Total_Departure_Arm</f>
        <v>43.006631160351354</v>
      </c>
      <c r="I23" s="29"/>
      <c r="J23" s="28"/>
      <c r="K23" s="18"/>
      <c r="L23" s="18"/>
      <c r="M23" s="18"/>
      <c r="N23" s="18"/>
      <c r="O23" s="18"/>
      <c r="P23" s="30"/>
      <c r="Q23" s="18"/>
      <c r="R23" s="18"/>
      <c r="S23" s="18"/>
      <c r="T23" s="18"/>
      <c r="U23" s="18"/>
    </row>
    <row r="24" spans="2:21" ht="12" thickTop="1">
      <c r="B24" s="18"/>
      <c r="C24" s="18"/>
      <c r="D24" s="18"/>
      <c r="E24" s="18"/>
      <c r="F24" s="18"/>
      <c r="G24" s="18"/>
      <c r="H24" s="29"/>
      <c r="I24" s="28"/>
      <c r="J24" s="18"/>
      <c r="K24" s="18"/>
      <c r="L24" s="18"/>
      <c r="M24" s="18"/>
      <c r="N24" s="18"/>
      <c r="O24" s="30"/>
      <c r="P24" s="18"/>
      <c r="Q24" s="18"/>
      <c r="R24" s="18"/>
      <c r="S24" s="18"/>
      <c r="T24" s="18"/>
      <c r="U24" s="18"/>
    </row>
    <row r="25" spans="2:21">
      <c r="B25" s="18"/>
      <c r="C25" s="18"/>
      <c r="D25" s="18"/>
      <c r="E25" s="18"/>
      <c r="F25" s="18"/>
      <c r="G25" s="18"/>
      <c r="H25" s="29"/>
      <c r="I25" s="28"/>
      <c r="J25" s="18"/>
      <c r="K25" s="18"/>
      <c r="L25" s="18"/>
      <c r="M25" s="18"/>
      <c r="N25" s="18"/>
      <c r="O25" s="18"/>
      <c r="P25" s="18"/>
      <c r="Q25" s="18"/>
      <c r="R25" s="18"/>
      <c r="S25" s="18"/>
      <c r="T25" s="18"/>
      <c r="U25" s="133"/>
    </row>
    <row r="26" spans="2:21">
      <c r="B26" s="18"/>
      <c r="C26" s="18"/>
      <c r="D26" s="18"/>
      <c r="E26" s="18"/>
      <c r="F26" s="18"/>
      <c r="G26" s="18"/>
      <c r="H26" s="29"/>
      <c r="I26" s="18"/>
      <c r="J26" s="18"/>
      <c r="K26" s="18"/>
      <c r="L26" s="18"/>
      <c r="M26" s="18"/>
      <c r="N26" s="18"/>
      <c r="O26" s="18"/>
      <c r="P26" s="18"/>
      <c r="Q26" s="18"/>
      <c r="R26" s="18"/>
      <c r="S26" s="18"/>
      <c r="T26" s="18"/>
      <c r="U26" s="133"/>
    </row>
    <row r="27" spans="2:21">
      <c r="B27" s="18"/>
      <c r="C27" s="18"/>
      <c r="D27" s="18"/>
      <c r="E27" s="18"/>
      <c r="F27" s="18"/>
      <c r="G27" s="18"/>
      <c r="H27" s="29"/>
      <c r="I27" s="28"/>
      <c r="J27" s="18"/>
      <c r="K27" s="18"/>
      <c r="L27" s="18"/>
      <c r="M27" s="18"/>
      <c r="N27" s="18"/>
      <c r="O27" s="18"/>
      <c r="P27" s="18"/>
      <c r="Q27" s="18"/>
      <c r="R27" s="18"/>
      <c r="S27" s="18"/>
      <c r="T27" s="18"/>
      <c r="U27" s="133"/>
    </row>
    <row r="28" spans="2:21">
      <c r="B28" s="18"/>
      <c r="C28" s="18"/>
      <c r="D28" s="18"/>
      <c r="E28" s="18"/>
      <c r="F28" s="18"/>
      <c r="G28" s="18"/>
      <c r="H28" s="29"/>
      <c r="I28" s="28"/>
      <c r="J28" s="18"/>
      <c r="K28" s="18"/>
      <c r="L28" s="18"/>
      <c r="M28" s="18"/>
      <c r="N28" s="18"/>
      <c r="O28" s="18"/>
      <c r="P28" s="18"/>
      <c r="Q28" s="18"/>
      <c r="R28" s="18"/>
      <c r="S28" s="18"/>
      <c r="T28" s="18"/>
      <c r="U28" s="133"/>
    </row>
    <row r="29" spans="2:21">
      <c r="B29" s="18"/>
      <c r="C29" s="18"/>
      <c r="D29" s="18"/>
      <c r="E29" s="18"/>
      <c r="F29" s="18"/>
      <c r="G29" s="18"/>
      <c r="H29" s="18"/>
      <c r="I29" s="18"/>
      <c r="J29" s="18"/>
      <c r="K29" s="18"/>
      <c r="L29" s="18"/>
      <c r="M29" s="18"/>
      <c r="N29" s="18"/>
      <c r="O29" s="18"/>
      <c r="P29" s="18"/>
      <c r="Q29" s="18"/>
      <c r="R29" s="18"/>
      <c r="S29" s="18"/>
      <c r="T29" s="18"/>
      <c r="U29" s="133"/>
    </row>
    <row r="30" spans="2:21">
      <c r="B30" s="18"/>
      <c r="C30" s="18"/>
      <c r="D30" s="18"/>
      <c r="E30" s="18"/>
      <c r="F30" s="18"/>
      <c r="G30" s="18"/>
      <c r="H30" s="18"/>
      <c r="I30" s="18"/>
      <c r="J30" s="18"/>
      <c r="K30" s="18"/>
      <c r="L30" s="18"/>
      <c r="M30" s="18"/>
      <c r="N30" s="18"/>
      <c r="O30" s="18"/>
      <c r="P30" s="18"/>
      <c r="Q30" s="18"/>
      <c r="R30" s="18"/>
      <c r="S30" s="18"/>
      <c r="T30" s="18"/>
      <c r="U30" s="133"/>
    </row>
    <row r="31" spans="2:21">
      <c r="B31" s="18"/>
      <c r="C31" s="18"/>
      <c r="D31" s="18"/>
      <c r="E31" s="18"/>
      <c r="F31" s="18"/>
      <c r="G31" s="18"/>
      <c r="H31" s="18"/>
      <c r="I31" s="18"/>
      <c r="J31" s="18"/>
      <c r="K31" s="18"/>
      <c r="L31" s="18"/>
      <c r="M31" s="18"/>
      <c r="N31" s="18"/>
      <c r="O31" s="18"/>
      <c r="P31" s="18"/>
      <c r="Q31" s="18"/>
      <c r="R31" s="18"/>
      <c r="S31" s="18"/>
      <c r="T31" s="18"/>
      <c r="U31" s="133"/>
    </row>
    <row r="32" spans="2:21">
      <c r="B32" s="18"/>
      <c r="C32" s="18"/>
      <c r="D32" s="18"/>
      <c r="E32" s="18"/>
      <c r="F32" s="18"/>
      <c r="G32" s="18"/>
      <c r="H32" s="18"/>
      <c r="I32" s="18"/>
      <c r="J32" s="28"/>
      <c r="K32" s="28"/>
      <c r="L32" s="28"/>
      <c r="M32" s="28"/>
      <c r="N32" s="28"/>
      <c r="O32" s="18"/>
      <c r="P32" s="18"/>
      <c r="Q32" s="18"/>
      <c r="R32" s="18"/>
      <c r="S32" s="18"/>
      <c r="T32" s="18"/>
      <c r="U32" s="133"/>
    </row>
    <row r="33" spans="2:21">
      <c r="B33" s="18"/>
      <c r="C33" s="18"/>
      <c r="D33" s="18"/>
      <c r="E33" s="18"/>
      <c r="F33" s="18"/>
      <c r="G33" s="18"/>
      <c r="H33" s="18"/>
      <c r="I33" s="18"/>
      <c r="J33" s="28"/>
      <c r="K33" s="28"/>
      <c r="L33" s="28"/>
      <c r="M33" s="28"/>
      <c r="N33" s="28"/>
      <c r="O33" s="18"/>
      <c r="P33" s="18"/>
      <c r="Q33" s="18"/>
      <c r="R33" s="18"/>
      <c r="S33" s="18"/>
      <c r="T33" s="18"/>
      <c r="U33" s="133"/>
    </row>
    <row r="34" spans="2:21">
      <c r="B34" s="18"/>
      <c r="C34" s="18"/>
      <c r="D34" s="18"/>
      <c r="E34" s="18"/>
      <c r="F34" s="18"/>
      <c r="G34" s="18"/>
      <c r="H34" s="18"/>
      <c r="I34" s="18"/>
      <c r="J34" s="28"/>
      <c r="K34" s="28"/>
      <c r="L34" s="28"/>
      <c r="M34" s="28"/>
      <c r="N34" s="28"/>
      <c r="O34" s="18"/>
      <c r="P34" s="18"/>
      <c r="Q34" s="18"/>
      <c r="R34" s="18"/>
      <c r="S34" s="18"/>
      <c r="T34" s="18"/>
      <c r="U34" s="18"/>
    </row>
    <row r="35" spans="2:21">
      <c r="B35" s="18"/>
      <c r="C35" s="18"/>
      <c r="D35" s="18"/>
      <c r="E35" s="18"/>
      <c r="F35" s="18"/>
      <c r="G35" s="18"/>
      <c r="H35" s="29"/>
      <c r="I35" s="28"/>
      <c r="J35" s="28"/>
      <c r="K35" s="28"/>
      <c r="L35" s="28"/>
      <c r="M35" s="28"/>
      <c r="N35" s="28"/>
      <c r="O35" s="18"/>
      <c r="P35" s="18"/>
      <c r="Q35" s="133"/>
      <c r="R35" s="18"/>
      <c r="S35" s="18"/>
      <c r="T35" s="18"/>
      <c r="U35" s="18"/>
    </row>
    <row r="36" spans="2:21">
      <c r="B36" s="27"/>
      <c r="C36" s="28"/>
      <c r="D36" s="18"/>
      <c r="E36" s="18"/>
      <c r="F36" s="29"/>
      <c r="G36" s="18"/>
      <c r="H36" s="29"/>
      <c r="I36" s="28"/>
      <c r="J36" s="28"/>
      <c r="K36" s="28"/>
      <c r="L36" s="28"/>
      <c r="M36" s="28"/>
      <c r="N36" s="28"/>
      <c r="O36" s="18"/>
      <c r="P36" s="18"/>
      <c r="Q36" s="133"/>
      <c r="R36" s="18"/>
      <c r="S36" s="18"/>
      <c r="T36" s="18"/>
      <c r="U36" s="18"/>
    </row>
    <row r="37" spans="2:21">
      <c r="B37" s="27"/>
      <c r="C37" s="28"/>
      <c r="D37" s="18"/>
      <c r="E37" s="18"/>
      <c r="F37" s="29"/>
      <c r="G37" s="18"/>
      <c r="H37" s="29"/>
      <c r="I37" s="28"/>
      <c r="J37" s="28"/>
      <c r="K37" s="28"/>
      <c r="L37" s="28"/>
      <c r="M37" s="28"/>
      <c r="N37" s="28"/>
      <c r="O37" s="18"/>
      <c r="P37" s="18"/>
      <c r="Q37" s="18"/>
      <c r="R37" s="18"/>
      <c r="S37" s="18"/>
      <c r="T37" s="18"/>
      <c r="U37" s="18"/>
    </row>
    <row r="38" spans="2:21">
      <c r="B38" s="27"/>
      <c r="C38" s="28"/>
      <c r="D38" s="18"/>
      <c r="E38" s="18"/>
      <c r="F38" s="29"/>
      <c r="G38" s="18"/>
      <c r="H38" s="29"/>
      <c r="I38" s="28"/>
      <c r="J38" s="28"/>
      <c r="K38" s="28"/>
      <c r="L38" s="28"/>
      <c r="M38" s="28"/>
      <c r="N38" s="28"/>
      <c r="O38" s="18"/>
      <c r="P38" s="134"/>
      <c r="Q38" s="133"/>
      <c r="R38" s="18"/>
      <c r="S38" s="18"/>
      <c r="T38" s="18"/>
      <c r="U38" s="18"/>
    </row>
    <row r="39" spans="2:21">
      <c r="B39" s="27"/>
      <c r="C39" s="28"/>
      <c r="D39" s="18"/>
      <c r="E39" s="18"/>
      <c r="F39" s="29"/>
      <c r="G39" s="18"/>
      <c r="H39" s="28"/>
      <c r="I39" s="28"/>
      <c r="J39" s="28"/>
      <c r="K39" s="30"/>
      <c r="L39" s="30"/>
      <c r="M39" s="28"/>
      <c r="N39" s="28"/>
      <c r="O39" s="18"/>
      <c r="P39" s="134"/>
      <c r="Q39" s="133"/>
      <c r="R39" s="18"/>
      <c r="S39" s="18"/>
      <c r="T39" s="18"/>
      <c r="U39" s="18"/>
    </row>
    <row r="40" spans="2:21">
      <c r="B40" s="18"/>
      <c r="C40" s="18"/>
      <c r="D40" s="29"/>
      <c r="E40" s="18"/>
      <c r="F40" s="18"/>
      <c r="G40" s="28"/>
      <c r="H40" s="28"/>
      <c r="I40" s="28"/>
      <c r="J40" s="28"/>
      <c r="K40" s="30"/>
      <c r="L40" s="30"/>
      <c r="M40" s="28"/>
      <c r="N40" s="28"/>
      <c r="O40" s="113"/>
      <c r="P40" s="133"/>
      <c r="Q40" s="133"/>
      <c r="R40" s="18"/>
      <c r="S40" s="18"/>
      <c r="T40" s="18"/>
      <c r="U40" s="18"/>
    </row>
    <row r="41" spans="2:21">
      <c r="B41" s="18"/>
      <c r="C41" s="18"/>
      <c r="D41" s="29"/>
      <c r="E41" s="18"/>
      <c r="F41" s="18"/>
      <c r="G41" s="28"/>
      <c r="H41" s="28"/>
      <c r="I41" s="28"/>
      <c r="J41" s="28"/>
      <c r="K41" s="30"/>
      <c r="L41" s="30"/>
      <c r="M41" s="28"/>
      <c r="N41" s="28"/>
      <c r="O41" s="113"/>
      <c r="P41" s="134"/>
      <c r="Q41" s="134"/>
      <c r="R41" s="133"/>
      <c r="S41" s="113"/>
      <c r="T41" s="134"/>
      <c r="U41" s="18"/>
    </row>
    <row r="42" spans="2:21">
      <c r="B42" s="18"/>
      <c r="C42" s="18"/>
      <c r="D42" s="29"/>
      <c r="E42" s="18"/>
      <c r="F42" s="18"/>
      <c r="G42" s="28"/>
      <c r="H42" s="28"/>
      <c r="I42" s="28"/>
      <c r="J42" s="30"/>
      <c r="K42" s="30"/>
      <c r="L42" s="28"/>
      <c r="M42" s="28"/>
      <c r="N42" s="113"/>
      <c r="O42" s="134"/>
      <c r="P42" s="134"/>
      <c r="Q42" s="28"/>
      <c r="R42" s="28"/>
      <c r="S42" s="113"/>
      <c r="T42" s="134"/>
      <c r="U42" s="133"/>
    </row>
    <row r="43" spans="2:21">
      <c r="B43" s="18"/>
      <c r="C43" s="18"/>
      <c r="D43" s="28"/>
      <c r="E43" s="18"/>
      <c r="F43" s="18"/>
      <c r="G43" s="28"/>
      <c r="H43" s="28"/>
      <c r="I43" s="28"/>
      <c r="J43" s="28"/>
      <c r="K43" s="30"/>
      <c r="L43" s="30"/>
      <c r="M43" s="28"/>
      <c r="N43" s="28"/>
      <c r="O43" s="113"/>
      <c r="P43" s="134"/>
      <c r="Q43" s="28"/>
      <c r="R43" s="28"/>
      <c r="S43" s="113"/>
      <c r="T43" s="134"/>
      <c r="U43" s="133"/>
    </row>
    <row r="44" spans="2:21">
      <c r="B44" s="27"/>
      <c r="C44" s="28"/>
      <c r="D44" s="135"/>
      <c r="E44" s="18"/>
      <c r="F44" s="18"/>
      <c r="G44" s="28"/>
      <c r="H44" s="28"/>
      <c r="I44" s="28"/>
      <c r="J44" s="28"/>
      <c r="K44" s="30"/>
      <c r="L44" s="18" t="s">
        <v>168</v>
      </c>
      <c r="M44" s="28"/>
      <c r="N44" s="28"/>
      <c r="O44" s="113"/>
      <c r="P44" s="113"/>
      <c r="Q44" s="28"/>
      <c r="R44" s="28"/>
      <c r="S44" s="113"/>
      <c r="T44" s="134"/>
      <c r="U44" s="133"/>
    </row>
    <row r="45" spans="2:21" ht="24">
      <c r="B45" s="18"/>
      <c r="C45" s="18"/>
      <c r="D45" s="136" t="s">
        <v>169</v>
      </c>
      <c r="E45" s="136" t="s">
        <v>170</v>
      </c>
      <c r="F45" s="137" t="s">
        <v>171</v>
      </c>
      <c r="G45" s="18"/>
      <c r="H45" s="18"/>
      <c r="I45" s="18"/>
      <c r="J45" s="18"/>
      <c r="K45" s="138" t="s">
        <v>172</v>
      </c>
      <c r="L45" s="139" t="s">
        <v>173</v>
      </c>
      <c r="M45" s="140">
        <v>2500</v>
      </c>
      <c r="N45" s="140">
        <v>5000</v>
      </c>
      <c r="O45" s="140">
        <v>7500</v>
      </c>
      <c r="P45" s="140">
        <v>10000</v>
      </c>
      <c r="Q45" s="18"/>
      <c r="R45" s="28"/>
      <c r="S45" s="113"/>
      <c r="T45" s="134"/>
      <c r="U45" s="133"/>
    </row>
    <row r="46" spans="2:21">
      <c r="B46" s="18"/>
      <c r="C46" s="141" t="s">
        <v>174</v>
      </c>
      <c r="D46" s="141">
        <v>111</v>
      </c>
      <c r="E46" s="142">
        <f>SQRT($E$22/2950)*D46</f>
        <v>110.99454393370355</v>
      </c>
      <c r="F46" s="142">
        <f>SQRT($N$21/2950)*D46</f>
        <v>105.85786154484445</v>
      </c>
      <c r="G46" s="18"/>
      <c r="H46" s="18"/>
      <c r="I46" s="18"/>
      <c r="J46" s="143" t="s">
        <v>175</v>
      </c>
      <c r="K46" s="144">
        <v>50</v>
      </c>
      <c r="L46" s="145">
        <f>SQRT($E$22/2950)*K46</f>
        <v>49.997542312479077</v>
      </c>
      <c r="M46" s="145">
        <f>L46+1.08</f>
        <v>51.077542312479075</v>
      </c>
      <c r="N46" s="145">
        <f>M46+1.08</f>
        <v>52.157542312479073</v>
      </c>
      <c r="O46" s="145">
        <f>N46+1.08</f>
        <v>53.237542312479071</v>
      </c>
      <c r="P46" s="145">
        <f>O46+1.08</f>
        <v>54.31754231247907</v>
      </c>
      <c r="Q46" s="146"/>
      <c r="R46" s="28"/>
      <c r="S46" s="113"/>
      <c r="T46" s="134"/>
      <c r="U46" s="133"/>
    </row>
    <row r="47" spans="2:21">
      <c r="B47" s="18"/>
      <c r="C47" s="141" t="s">
        <v>176</v>
      </c>
      <c r="D47" s="141">
        <v>70</v>
      </c>
      <c r="E47" s="142">
        <f>SQRT($E$22/2950)*D47</f>
        <v>69.996559237470706</v>
      </c>
      <c r="F47" s="142">
        <f>SQRT($N$21/2950)*D47</f>
        <v>66.757209983235242</v>
      </c>
      <c r="G47" s="18"/>
      <c r="H47" s="18"/>
      <c r="I47" s="18"/>
      <c r="J47" s="147" t="s">
        <v>177</v>
      </c>
      <c r="K47" s="148">
        <v>78</v>
      </c>
      <c r="L47" s="149">
        <f>SQRT($E$22/2950)*K47</f>
        <v>77.996166007467366</v>
      </c>
      <c r="M47" s="149">
        <f>L47-1.3</f>
        <v>76.696166007467369</v>
      </c>
      <c r="N47" s="149">
        <f>M47-1.3</f>
        <v>75.396166007467372</v>
      </c>
      <c r="O47" s="149">
        <f>N47-1.3</f>
        <v>74.096166007467374</v>
      </c>
      <c r="P47" s="149">
        <f>O47-1.3</f>
        <v>72.796166007467377</v>
      </c>
      <c r="Q47" s="146"/>
      <c r="R47" s="28"/>
      <c r="S47" s="113"/>
      <c r="T47" s="134"/>
      <c r="U47" s="133"/>
    </row>
    <row r="48" spans="2:21">
      <c r="B48" s="18"/>
      <c r="C48" s="147" t="s">
        <v>178</v>
      </c>
      <c r="D48" s="147">
        <v>38</v>
      </c>
      <c r="E48" s="150">
        <f>SQRT($E$22/2950)*D48</f>
        <v>37.9981321574841</v>
      </c>
      <c r="F48" s="150">
        <f>SQRT($N$21/2950)*D48</f>
        <v>36.239628276613416</v>
      </c>
      <c r="G48" s="18"/>
      <c r="H48" s="18"/>
      <c r="I48" s="18"/>
      <c r="J48" s="18"/>
      <c r="K48" s="18"/>
      <c r="L48" s="18" t="s">
        <v>179</v>
      </c>
      <c r="M48" s="18"/>
      <c r="N48" s="18"/>
      <c r="O48" s="18"/>
      <c r="P48" s="18"/>
      <c r="Q48" s="18"/>
      <c r="R48" s="28"/>
      <c r="S48" s="113"/>
      <c r="T48" s="134"/>
      <c r="U48" s="133"/>
    </row>
    <row r="49" spans="2:21">
      <c r="B49" s="18"/>
      <c r="C49" s="151" t="s">
        <v>180</v>
      </c>
      <c r="D49" s="151">
        <v>53</v>
      </c>
      <c r="E49" s="152">
        <f>SQRT($E$22/2950)*D49</f>
        <v>52.997394851227824</v>
      </c>
      <c r="F49" s="152">
        <f>SQRT($N$21/2950)*D49</f>
        <v>50.5447447015924</v>
      </c>
      <c r="G49" s="18"/>
      <c r="H49" s="18"/>
      <c r="I49" s="18"/>
      <c r="J49" s="143" t="s">
        <v>175</v>
      </c>
      <c r="K49" s="144">
        <v>50</v>
      </c>
      <c r="L49" s="145">
        <f>SQRT($N$21/2950)*K49</f>
        <v>47.683721416596605</v>
      </c>
      <c r="M49" s="145">
        <f>L49+1.08</f>
        <v>48.763721416596603</v>
      </c>
      <c r="N49" s="145">
        <f>M49+1.08</f>
        <v>49.843721416596601</v>
      </c>
      <c r="O49" s="145">
        <f>N49+1.08</f>
        <v>50.923721416596599</v>
      </c>
      <c r="P49" s="145">
        <f>O49+1.08</f>
        <v>52.003721416596598</v>
      </c>
      <c r="Q49" s="146"/>
      <c r="R49" s="28"/>
      <c r="S49" s="113"/>
      <c r="T49" s="134"/>
      <c r="U49" s="133"/>
    </row>
    <row r="50" spans="2:21">
      <c r="B50" s="144"/>
      <c r="C50" s="143" t="s">
        <v>181</v>
      </c>
      <c r="D50" s="153">
        <v>60</v>
      </c>
      <c r="E50" s="153">
        <f>SQRT($E$22/2950)*D50</f>
        <v>59.997050774974895</v>
      </c>
      <c r="F50" s="153">
        <f>SQRT($N$21/2950)*D50</f>
        <v>57.22046569991592</v>
      </c>
      <c r="G50" s="18"/>
      <c r="H50" s="18"/>
      <c r="I50" s="18"/>
      <c r="J50" s="147" t="s">
        <v>177</v>
      </c>
      <c r="K50" s="148">
        <v>78</v>
      </c>
      <c r="L50" s="149">
        <f>SQRT($N$21/2950)*K50</f>
        <v>74.386605409890706</v>
      </c>
      <c r="M50" s="149">
        <f>L50-1.3</f>
        <v>73.086605409890709</v>
      </c>
      <c r="N50" s="149">
        <f>M50-1.3</f>
        <v>71.786605409890711</v>
      </c>
      <c r="O50" s="149">
        <f>N50-1.3</f>
        <v>70.486605409890714</v>
      </c>
      <c r="P50" s="149">
        <f>O50-1.3</f>
        <v>69.186605409890717</v>
      </c>
      <c r="Q50" s="18"/>
      <c r="R50" s="28"/>
      <c r="S50" s="113"/>
      <c r="T50" s="134"/>
      <c r="U50" s="133"/>
    </row>
    <row r="51" spans="2:21">
      <c r="B51" s="18"/>
      <c r="C51" s="18"/>
      <c r="D51" s="18"/>
      <c r="E51" s="18"/>
      <c r="F51" s="18"/>
      <c r="G51" s="18"/>
      <c r="H51" s="18"/>
      <c r="I51" s="18"/>
      <c r="J51" s="18"/>
      <c r="K51" s="18"/>
      <c r="L51" s="28"/>
      <c r="M51" s="28"/>
      <c r="N51" s="28"/>
      <c r="O51" s="30"/>
      <c r="P51" s="30"/>
      <c r="Q51" s="28"/>
      <c r="R51" s="28"/>
      <c r="S51" s="113"/>
      <c r="T51" s="134"/>
      <c r="U51" s="133"/>
    </row>
    <row r="52" spans="2:21">
      <c r="B52" s="27"/>
      <c r="C52" s="28"/>
      <c r="D52" s="18"/>
      <c r="E52" s="18"/>
      <c r="F52" s="29"/>
      <c r="G52" s="18"/>
      <c r="H52" s="29"/>
      <c r="I52" s="28"/>
      <c r="J52" s="28"/>
      <c r="K52" s="28"/>
      <c r="L52" s="28"/>
      <c r="M52" s="28"/>
      <c r="N52" s="133"/>
      <c r="O52" s="30"/>
      <c r="P52" s="30"/>
      <c r="Q52" s="28"/>
      <c r="R52" s="28"/>
      <c r="S52" s="113"/>
      <c r="T52" s="134"/>
      <c r="U52" s="133"/>
    </row>
    <row r="53" spans="2:21">
      <c r="B53" s="27"/>
      <c r="C53" s="28"/>
      <c r="D53" s="18"/>
      <c r="E53" s="18"/>
      <c r="F53" s="29"/>
      <c r="G53" s="18"/>
      <c r="H53" s="29"/>
      <c r="I53" s="28"/>
      <c r="J53" s="28"/>
      <c r="K53" s="28"/>
      <c r="L53" s="28"/>
      <c r="M53" s="28"/>
      <c r="N53" s="28"/>
      <c r="O53" s="30"/>
      <c r="P53" s="30"/>
      <c r="Q53" s="28"/>
      <c r="R53" s="28"/>
      <c r="S53" s="113"/>
      <c r="T53" s="134"/>
      <c r="U53" s="133"/>
    </row>
    <row r="54" spans="2:21">
      <c r="B54" s="27"/>
      <c r="C54" s="28"/>
      <c r="D54" s="18"/>
      <c r="E54" s="18"/>
      <c r="F54" s="29"/>
      <c r="G54" s="18"/>
      <c r="H54" s="29"/>
      <c r="I54" s="28"/>
      <c r="J54" s="28"/>
      <c r="K54" s="28"/>
      <c r="L54" s="28"/>
      <c r="M54" s="28"/>
      <c r="N54" s="28"/>
      <c r="O54" s="30"/>
      <c r="P54" s="30"/>
      <c r="Q54" s="28"/>
      <c r="R54" s="28"/>
      <c r="S54" s="113"/>
      <c r="T54" s="134"/>
      <c r="U54" s="133"/>
    </row>
    <row r="55" spans="2:21">
      <c r="B55" s="27"/>
      <c r="C55" s="28"/>
      <c r="D55" s="18"/>
      <c r="E55" s="18"/>
      <c r="F55" s="29"/>
      <c r="G55" s="18"/>
      <c r="H55" s="29"/>
      <c r="I55" s="28"/>
      <c r="J55" s="28"/>
      <c r="K55" s="28"/>
      <c r="L55" s="28"/>
      <c r="M55" s="28"/>
      <c r="N55" s="28"/>
      <c r="O55" s="30"/>
      <c r="P55" s="30"/>
      <c r="Q55" s="28"/>
      <c r="R55" s="28"/>
      <c r="S55" s="113"/>
      <c r="T55" s="134"/>
      <c r="U55" s="133"/>
    </row>
    <row r="56" spans="2:21">
      <c r="B56" s="27"/>
      <c r="C56" s="28"/>
      <c r="D56" s="18"/>
      <c r="E56" s="18"/>
      <c r="F56" s="29"/>
      <c r="G56" s="18"/>
      <c r="H56" s="29"/>
      <c r="I56" s="28"/>
      <c r="J56" s="28"/>
      <c r="K56" s="28"/>
      <c r="L56" s="28"/>
      <c r="M56" s="28"/>
      <c r="N56" s="28"/>
      <c r="O56" s="30"/>
      <c r="P56" s="30"/>
      <c r="Q56" s="28"/>
      <c r="R56" s="28"/>
      <c r="S56" s="113"/>
      <c r="T56" s="134"/>
      <c r="U56" s="133"/>
    </row>
    <row r="57" spans="2:21">
      <c r="B57" s="27"/>
      <c r="C57" s="28"/>
      <c r="D57" s="18"/>
      <c r="E57" s="18"/>
      <c r="F57" s="29"/>
      <c r="G57" s="18"/>
      <c r="H57" s="29"/>
      <c r="I57" s="28"/>
      <c r="J57" s="28"/>
      <c r="K57" s="28"/>
      <c r="L57" s="28"/>
      <c r="M57" s="28"/>
      <c r="N57" s="28"/>
      <c r="O57" s="30"/>
      <c r="P57" s="30"/>
      <c r="Q57" s="28"/>
      <c r="R57" s="28"/>
      <c r="S57" s="113"/>
      <c r="T57" s="134"/>
      <c r="U57" s="133"/>
    </row>
    <row r="58" spans="2:21">
      <c r="B58" s="27"/>
      <c r="C58" s="28"/>
      <c r="D58" s="18"/>
      <c r="E58" s="18"/>
      <c r="F58" s="29"/>
      <c r="G58" s="18"/>
      <c r="H58" s="29"/>
      <c r="I58" s="28"/>
      <c r="J58" s="28"/>
      <c r="K58" s="28"/>
      <c r="L58" s="28"/>
      <c r="M58" s="28"/>
      <c r="N58" s="28"/>
      <c r="O58" s="30"/>
      <c r="P58" s="30"/>
      <c r="Q58" s="28"/>
      <c r="R58" s="28"/>
      <c r="S58" s="113"/>
      <c r="T58" s="134"/>
      <c r="U58" s="133"/>
    </row>
    <row r="59" spans="2:21">
      <c r="B59" s="27"/>
      <c r="C59" s="28"/>
      <c r="D59" s="18"/>
      <c r="E59" s="18"/>
      <c r="F59" s="29"/>
      <c r="G59" s="18"/>
      <c r="H59" s="29"/>
      <c r="I59" s="28"/>
      <c r="J59" s="28"/>
      <c r="K59" s="28"/>
      <c r="L59" s="28"/>
      <c r="M59" s="28"/>
      <c r="N59" s="28"/>
      <c r="O59" s="30"/>
      <c r="P59" s="30"/>
      <c r="Q59" s="28"/>
      <c r="R59" s="28"/>
      <c r="S59" s="113"/>
      <c r="T59" s="134"/>
      <c r="U59" s="133"/>
    </row>
    <row r="60" spans="2:21">
      <c r="B60" s="27"/>
      <c r="C60" s="28"/>
      <c r="D60" s="18"/>
      <c r="E60" s="18"/>
      <c r="F60" s="29"/>
      <c r="G60" s="18"/>
      <c r="H60" s="29"/>
      <c r="I60" s="28"/>
      <c r="J60" s="28"/>
      <c r="K60" s="28"/>
      <c r="L60" s="28"/>
      <c r="M60" s="28"/>
      <c r="N60" s="28"/>
      <c r="O60" s="30"/>
      <c r="P60" s="30"/>
      <c r="Q60" s="28"/>
      <c r="R60" s="28"/>
      <c r="S60" s="113"/>
      <c r="T60" s="134"/>
      <c r="U60" s="133"/>
    </row>
    <row r="61" spans="2:21">
      <c r="B61" s="27"/>
      <c r="C61" s="28"/>
      <c r="D61" s="18"/>
      <c r="E61" s="18"/>
      <c r="F61" s="29"/>
      <c r="G61" s="18"/>
      <c r="H61" s="29"/>
      <c r="I61" s="28"/>
      <c r="J61" s="28"/>
      <c r="K61" s="28"/>
      <c r="L61" s="28"/>
      <c r="M61" s="28"/>
      <c r="N61" s="28"/>
      <c r="O61" s="30"/>
      <c r="P61" s="30"/>
      <c r="Q61" s="28"/>
      <c r="R61" s="28"/>
      <c r="S61" s="113"/>
      <c r="T61" s="134"/>
      <c r="U61" s="133"/>
    </row>
    <row r="62" spans="2:21">
      <c r="B62" s="27"/>
      <c r="C62" s="28"/>
      <c r="D62" s="18"/>
      <c r="E62" s="18"/>
      <c r="F62" s="29"/>
      <c r="G62" s="18"/>
      <c r="H62" s="29"/>
      <c r="I62" s="28"/>
      <c r="J62" s="28"/>
      <c r="K62" s="28"/>
      <c r="L62" s="28"/>
      <c r="M62" s="28"/>
      <c r="N62" s="28"/>
      <c r="O62" s="30"/>
      <c r="P62" s="30"/>
      <c r="Q62" s="28"/>
      <c r="R62" s="28"/>
      <c r="S62" s="113"/>
      <c r="T62" s="134"/>
      <c r="U62" s="133"/>
    </row>
    <row r="63" spans="2:21">
      <c r="B63" s="27"/>
      <c r="C63" s="28"/>
      <c r="D63" s="18"/>
      <c r="E63" s="18"/>
      <c r="F63" s="29"/>
      <c r="G63" s="18"/>
      <c r="H63" s="29"/>
      <c r="I63" s="28"/>
      <c r="J63" s="28"/>
      <c r="K63" s="28"/>
      <c r="L63" s="28"/>
      <c r="M63" s="28"/>
      <c r="N63" s="28"/>
      <c r="O63" s="30"/>
      <c r="P63" s="30"/>
      <c r="Q63" s="28"/>
      <c r="R63" s="28"/>
      <c r="S63" s="113"/>
      <c r="T63" s="134"/>
      <c r="U63" s="133"/>
    </row>
    <row r="64" spans="2:21">
      <c r="B64" s="27"/>
      <c r="C64" s="28"/>
      <c r="D64" s="18"/>
      <c r="E64" s="18"/>
      <c r="F64" s="29"/>
      <c r="G64" s="18"/>
      <c r="H64" s="29"/>
      <c r="I64" s="28"/>
      <c r="J64" s="28"/>
      <c r="K64" s="28"/>
      <c r="L64" s="28"/>
      <c r="M64" s="28"/>
      <c r="N64" s="28"/>
      <c r="O64" s="30"/>
      <c r="P64" s="30"/>
      <c r="Q64" s="28"/>
      <c r="R64" s="28"/>
      <c r="S64" s="113"/>
      <c r="T64" s="134"/>
      <c r="U64" s="133"/>
    </row>
    <row r="65" spans="2:21">
      <c r="B65" s="27"/>
      <c r="C65" s="28"/>
      <c r="D65" s="18"/>
      <c r="E65" s="18"/>
      <c r="F65" s="29"/>
      <c r="G65" s="18"/>
      <c r="H65" s="29"/>
      <c r="I65" s="28"/>
      <c r="J65" s="28"/>
      <c r="K65" s="28"/>
      <c r="L65" s="28"/>
      <c r="M65" s="28"/>
      <c r="N65" s="28"/>
      <c r="O65" s="30"/>
      <c r="P65" s="30"/>
      <c r="Q65" s="28"/>
      <c r="R65" s="28"/>
      <c r="S65" s="113"/>
      <c r="T65" s="134"/>
      <c r="U65" s="133"/>
    </row>
    <row r="66" spans="2:21">
      <c r="B66" s="27"/>
      <c r="C66" s="28"/>
      <c r="D66" s="18"/>
      <c r="E66" s="18"/>
      <c r="F66" s="29"/>
      <c r="G66" s="18"/>
      <c r="H66" s="29"/>
      <c r="I66" s="28"/>
      <c r="J66" s="28"/>
      <c r="K66" s="28"/>
      <c r="L66" s="28"/>
      <c r="M66" s="28"/>
      <c r="N66" s="28"/>
      <c r="O66" s="30"/>
      <c r="P66" s="30"/>
      <c r="Q66" s="28"/>
      <c r="R66" s="28"/>
      <c r="S66" s="113"/>
      <c r="T66" s="134"/>
      <c r="U66" s="133"/>
    </row>
    <row r="67" spans="2:21">
      <c r="B67" s="27"/>
      <c r="C67" s="28"/>
      <c r="D67" s="18"/>
      <c r="E67" s="18"/>
      <c r="F67" s="29"/>
      <c r="G67" s="18"/>
      <c r="H67" s="29"/>
      <c r="I67" s="28"/>
      <c r="J67" s="28"/>
      <c r="K67" s="28"/>
      <c r="L67" s="28"/>
      <c r="M67" s="28"/>
      <c r="N67" s="28"/>
      <c r="O67" s="30"/>
      <c r="P67" s="30"/>
      <c r="Q67" s="28"/>
      <c r="R67" s="28"/>
      <c r="S67" s="113"/>
      <c r="T67" s="134"/>
      <c r="U67" s="133"/>
    </row>
    <row r="68" spans="2:21">
      <c r="B68" s="27"/>
      <c r="C68" s="28"/>
      <c r="D68" s="18"/>
      <c r="E68" s="18"/>
      <c r="F68" s="29"/>
      <c r="G68" s="18"/>
      <c r="H68" s="29"/>
      <c r="I68" s="28"/>
      <c r="J68" s="28"/>
      <c r="K68" s="28"/>
      <c r="L68" s="28"/>
      <c r="M68" s="28"/>
      <c r="N68" s="28"/>
      <c r="O68" s="30"/>
      <c r="P68" s="30"/>
      <c r="Q68" s="28"/>
      <c r="R68" s="28"/>
      <c r="S68" s="113"/>
      <c r="T68" s="134"/>
      <c r="U68" s="133"/>
    </row>
    <row r="69" spans="2:21">
      <c r="B69" s="27"/>
      <c r="C69" s="28"/>
      <c r="D69" s="18"/>
      <c r="E69" s="18"/>
      <c r="F69" s="29"/>
      <c r="G69" s="18"/>
      <c r="H69" s="29"/>
      <c r="I69" s="28"/>
      <c r="J69" s="28"/>
      <c r="K69" s="28"/>
      <c r="L69" s="28"/>
      <c r="M69" s="28"/>
      <c r="N69" s="28"/>
      <c r="O69" s="30"/>
      <c r="P69" s="30"/>
      <c r="Q69" s="28"/>
      <c r="R69" s="28"/>
      <c r="S69" s="113"/>
      <c r="T69" s="134"/>
      <c r="U69" s="133"/>
    </row>
    <row r="70" spans="2:21">
      <c r="B70" s="27"/>
      <c r="C70" s="28"/>
      <c r="D70" s="18"/>
      <c r="E70" s="18"/>
      <c r="F70" s="29"/>
      <c r="G70" s="18"/>
      <c r="H70" s="29"/>
      <c r="I70" s="28"/>
      <c r="J70" s="28"/>
      <c r="K70" s="28"/>
      <c r="L70" s="28"/>
      <c r="M70" s="28"/>
      <c r="N70" s="28"/>
      <c r="O70" s="30"/>
      <c r="P70" s="30"/>
      <c r="Q70" s="28"/>
      <c r="R70" s="28"/>
      <c r="S70" s="113"/>
      <c r="T70" s="134"/>
      <c r="U70" s="133"/>
    </row>
    <row r="71" spans="2:21">
      <c r="B71" s="27"/>
      <c r="C71" s="28"/>
      <c r="D71" s="18"/>
      <c r="E71" s="18"/>
      <c r="F71" s="29"/>
      <c r="G71" s="18"/>
      <c r="H71" s="29"/>
      <c r="I71" s="28"/>
      <c r="J71" s="28"/>
      <c r="K71" s="28"/>
      <c r="L71" s="28"/>
      <c r="M71" s="28"/>
      <c r="N71" s="28"/>
      <c r="O71" s="30"/>
      <c r="P71" s="30"/>
      <c r="Q71" s="28"/>
      <c r="R71" s="28"/>
      <c r="S71" s="113"/>
      <c r="T71" s="134"/>
      <c r="U71" s="133"/>
    </row>
    <row r="72" spans="2:21">
      <c r="B72" s="27"/>
      <c r="C72" s="28"/>
      <c r="D72" s="18"/>
      <c r="E72" s="18"/>
      <c r="F72" s="29"/>
      <c r="G72" s="18"/>
      <c r="H72" s="29"/>
      <c r="I72" s="28"/>
      <c r="J72" s="28"/>
      <c r="K72" s="28"/>
      <c r="L72" s="28"/>
      <c r="M72" s="28"/>
      <c r="N72" s="28"/>
      <c r="O72" s="30"/>
      <c r="P72" s="30"/>
      <c r="Q72" s="28"/>
      <c r="R72" s="28"/>
      <c r="S72" s="113"/>
      <c r="T72" s="134"/>
      <c r="U72" s="133"/>
    </row>
    <row r="73" spans="2:21">
      <c r="B73" s="27"/>
      <c r="C73" s="28"/>
      <c r="D73" s="18"/>
      <c r="E73" s="18"/>
      <c r="F73" s="29"/>
      <c r="G73" s="18"/>
      <c r="H73" s="29"/>
      <c r="I73" s="28"/>
      <c r="J73" s="28"/>
      <c r="K73" s="28"/>
      <c r="L73" s="28"/>
      <c r="M73" s="28"/>
      <c r="N73" s="28"/>
      <c r="O73" s="30"/>
      <c r="P73" s="30"/>
      <c r="Q73" s="28"/>
      <c r="R73" s="28"/>
      <c r="S73" s="113"/>
      <c r="T73" s="134"/>
      <c r="U73" s="133"/>
    </row>
    <row r="74" spans="2:21">
      <c r="B74" s="27"/>
      <c r="C74" s="28"/>
      <c r="D74" s="18"/>
      <c r="E74" s="18"/>
      <c r="F74" s="29"/>
      <c r="G74" s="18"/>
      <c r="H74" s="29"/>
      <c r="I74" s="28"/>
      <c r="J74" s="28"/>
      <c r="K74" s="28"/>
      <c r="L74" s="28"/>
      <c r="M74" s="28"/>
      <c r="N74" s="28"/>
      <c r="O74" s="30"/>
      <c r="P74" s="30"/>
      <c r="Q74" s="28"/>
      <c r="R74" s="28"/>
      <c r="S74" s="113"/>
      <c r="T74" s="134"/>
      <c r="U74" s="133"/>
    </row>
    <row r="75" spans="2:21">
      <c r="B75" s="27"/>
      <c r="C75" s="28"/>
      <c r="D75" s="18"/>
      <c r="E75" s="18"/>
      <c r="F75" s="29"/>
      <c r="G75" s="18"/>
      <c r="H75" s="29"/>
      <c r="I75" s="28"/>
      <c r="J75" s="28"/>
      <c r="K75" s="28"/>
      <c r="L75" s="28"/>
      <c r="M75" s="28"/>
      <c r="N75" s="28"/>
      <c r="O75" s="30"/>
      <c r="P75" s="30"/>
      <c r="Q75" s="28"/>
      <c r="R75" s="28"/>
      <c r="S75" s="113"/>
      <c r="T75" s="134"/>
      <c r="U75" s="133"/>
    </row>
    <row r="76" spans="2:21">
      <c r="B76" s="27"/>
      <c r="C76" s="28"/>
      <c r="D76" s="18"/>
      <c r="E76" s="18"/>
      <c r="F76" s="29"/>
      <c r="G76" s="18"/>
      <c r="H76" s="29"/>
      <c r="I76" s="28"/>
      <c r="J76" s="28"/>
      <c r="K76" s="28"/>
      <c r="L76" s="28"/>
      <c r="M76" s="28"/>
      <c r="N76" s="28"/>
      <c r="O76" s="30"/>
      <c r="P76" s="30"/>
      <c r="Q76" s="28"/>
      <c r="R76" s="28"/>
      <c r="S76" s="113"/>
      <c r="T76" s="134"/>
      <c r="U76" s="133"/>
    </row>
    <row r="77" spans="2:21">
      <c r="B77" s="27"/>
      <c r="C77" s="28"/>
      <c r="D77" s="18"/>
      <c r="E77" s="18"/>
      <c r="F77" s="29"/>
      <c r="G77" s="18"/>
      <c r="H77" s="29"/>
      <c r="I77" s="28"/>
      <c r="J77" s="28"/>
      <c r="K77" s="28"/>
      <c r="L77" s="28"/>
      <c r="M77" s="28"/>
      <c r="N77" s="28"/>
      <c r="O77" s="30"/>
      <c r="P77" s="30"/>
      <c r="Q77" s="28"/>
      <c r="R77" s="28"/>
      <c r="S77" s="113"/>
      <c r="T77" s="134"/>
      <c r="U77" s="133"/>
    </row>
    <row r="78" spans="2:21">
      <c r="B78" s="27"/>
      <c r="C78" s="28"/>
      <c r="D78" s="18"/>
      <c r="E78" s="18"/>
      <c r="F78" s="29"/>
      <c r="G78" s="18"/>
      <c r="H78" s="29"/>
      <c r="I78" s="28"/>
      <c r="J78" s="28"/>
      <c r="K78" s="28"/>
      <c r="L78" s="28"/>
      <c r="M78" s="28"/>
      <c r="N78" s="28"/>
      <c r="O78" s="30"/>
      <c r="P78" s="30"/>
      <c r="Q78" s="28"/>
      <c r="R78" s="28"/>
      <c r="S78" s="113"/>
      <c r="T78" s="134"/>
      <c r="U78" s="133"/>
    </row>
    <row r="79" spans="2:21">
      <c r="B79" s="27"/>
      <c r="C79" s="28"/>
      <c r="D79" s="18"/>
      <c r="E79" s="18"/>
      <c r="F79" s="29"/>
      <c r="G79" s="18"/>
      <c r="H79" s="29"/>
      <c r="I79" s="28"/>
      <c r="J79" s="28"/>
      <c r="K79" s="28"/>
      <c r="L79" s="28"/>
      <c r="M79" s="28"/>
      <c r="N79" s="28"/>
      <c r="O79" s="30"/>
      <c r="P79" s="30"/>
      <c r="Q79" s="28"/>
      <c r="R79" s="28"/>
      <c r="S79" s="113"/>
      <c r="T79" s="134"/>
      <c r="U79" s="133"/>
    </row>
    <row r="80" spans="2:21">
      <c r="B80" s="27"/>
      <c r="C80" s="28"/>
      <c r="D80" s="18"/>
      <c r="E80" s="18"/>
      <c r="F80" s="29"/>
      <c r="G80" s="18"/>
      <c r="H80" s="29"/>
      <c r="I80" s="28"/>
      <c r="J80" s="28"/>
      <c r="K80" s="28"/>
      <c r="L80" s="28"/>
      <c r="M80" s="28"/>
      <c r="N80" s="28"/>
      <c r="O80" s="30"/>
      <c r="P80" s="30"/>
      <c r="Q80" s="28"/>
      <c r="R80" s="28"/>
      <c r="S80" s="113"/>
      <c r="T80" s="134"/>
      <c r="U80" s="133"/>
    </row>
    <row r="81" spans="2:21">
      <c r="B81" s="27"/>
      <c r="C81" s="28"/>
      <c r="D81" s="18"/>
      <c r="E81" s="18"/>
      <c r="F81" s="29"/>
      <c r="G81" s="18"/>
      <c r="H81" s="29"/>
      <c r="I81" s="28"/>
      <c r="J81" s="28"/>
      <c r="K81" s="28"/>
      <c r="L81" s="28"/>
      <c r="M81" s="28"/>
      <c r="N81" s="28"/>
      <c r="O81" s="30"/>
      <c r="P81" s="30"/>
      <c r="Q81" s="28"/>
      <c r="R81" s="28"/>
      <c r="S81" s="113"/>
      <c r="T81" s="134"/>
      <c r="U81" s="133"/>
    </row>
    <row r="82" spans="2:21">
      <c r="B82" s="27"/>
      <c r="C82" s="28"/>
      <c r="D82" s="18"/>
      <c r="E82" s="18"/>
      <c r="F82" s="29"/>
      <c r="G82" s="18"/>
      <c r="H82" s="29"/>
      <c r="I82" s="28"/>
      <c r="J82" s="28"/>
      <c r="K82" s="28"/>
      <c r="L82" s="28"/>
      <c r="M82" s="28"/>
      <c r="N82" s="28"/>
      <c r="O82" s="30"/>
      <c r="P82" s="30"/>
      <c r="Q82" s="28"/>
      <c r="R82" s="28"/>
      <c r="S82" s="113"/>
      <c r="T82" s="134"/>
      <c r="U82" s="133"/>
    </row>
    <row r="83" spans="2:21">
      <c r="B83" s="27"/>
      <c r="C83" s="28"/>
      <c r="D83" s="18"/>
      <c r="E83" s="18"/>
      <c r="F83" s="29"/>
      <c r="G83" s="18"/>
      <c r="H83" s="29"/>
      <c r="I83" s="28"/>
      <c r="J83" s="28"/>
      <c r="K83" s="28"/>
      <c r="L83" s="28"/>
      <c r="M83" s="28"/>
      <c r="N83" s="28"/>
      <c r="O83" s="30"/>
      <c r="P83" s="30"/>
      <c r="Q83" s="28"/>
      <c r="R83" s="28"/>
      <c r="S83" s="113"/>
      <c r="T83" s="134"/>
      <c r="U83" s="133"/>
    </row>
    <row r="84" spans="2:21">
      <c r="B84" s="27"/>
      <c r="C84" s="28"/>
      <c r="D84" s="18"/>
      <c r="E84" s="18"/>
      <c r="F84" s="29"/>
      <c r="G84" s="18"/>
      <c r="H84" s="29"/>
      <c r="I84" s="28"/>
      <c r="J84" s="28"/>
      <c r="K84" s="28"/>
      <c r="L84" s="28"/>
      <c r="M84" s="28"/>
      <c r="N84" s="28"/>
      <c r="O84" s="30"/>
      <c r="P84" s="30"/>
      <c r="Q84" s="28"/>
      <c r="R84" s="28"/>
      <c r="S84" s="113"/>
      <c r="T84" s="134"/>
      <c r="U84" s="133"/>
    </row>
    <row r="85" spans="2:21">
      <c r="B85" s="27"/>
      <c r="C85" s="28"/>
      <c r="D85" s="18"/>
      <c r="E85" s="18"/>
      <c r="F85" s="29"/>
      <c r="G85" s="18"/>
      <c r="H85" s="29"/>
      <c r="I85" s="28"/>
      <c r="J85" s="28"/>
      <c r="K85" s="28"/>
      <c r="L85" s="28"/>
      <c r="M85" s="28"/>
      <c r="N85" s="28"/>
      <c r="O85" s="30"/>
      <c r="P85" s="30"/>
      <c r="Q85" s="28"/>
      <c r="R85" s="28"/>
      <c r="S85" s="113"/>
      <c r="T85" s="134"/>
      <c r="U85" s="133"/>
    </row>
    <row r="86" spans="2:21">
      <c r="B86" s="27"/>
      <c r="C86" s="28"/>
      <c r="D86" s="18"/>
      <c r="E86" s="18"/>
      <c r="F86" s="29"/>
      <c r="G86" s="18"/>
      <c r="H86" s="29"/>
      <c r="I86" s="28"/>
      <c r="J86" s="28"/>
      <c r="K86" s="28"/>
      <c r="L86" s="28"/>
      <c r="M86" s="28"/>
      <c r="N86" s="28"/>
      <c r="O86" s="30"/>
      <c r="P86" s="30"/>
      <c r="Q86" s="28"/>
      <c r="R86" s="28"/>
      <c r="S86" s="113"/>
      <c r="T86" s="134"/>
      <c r="U86" s="133"/>
    </row>
    <row r="87" spans="2:21">
      <c r="B87" s="27"/>
      <c r="C87" s="28"/>
      <c r="D87" s="18"/>
      <c r="E87" s="18"/>
      <c r="F87" s="29"/>
      <c r="G87" s="18"/>
      <c r="H87" s="29"/>
      <c r="I87" s="28"/>
      <c r="J87" s="28"/>
      <c r="K87" s="28"/>
      <c r="L87" s="28"/>
      <c r="M87" s="28"/>
      <c r="N87" s="28"/>
      <c r="O87" s="30"/>
      <c r="P87" s="30"/>
      <c r="Q87" s="28"/>
      <c r="R87" s="28"/>
      <c r="S87" s="113"/>
      <c r="T87" s="134"/>
      <c r="U87" s="133"/>
    </row>
    <row r="88" spans="2:21">
      <c r="B88" s="27"/>
      <c r="C88" s="28"/>
      <c r="D88" s="18"/>
      <c r="E88" s="18"/>
      <c r="F88" s="29"/>
      <c r="G88" s="18"/>
      <c r="H88" s="29"/>
      <c r="I88" s="28"/>
      <c r="J88" s="28"/>
      <c r="K88" s="28"/>
      <c r="L88" s="28"/>
      <c r="M88" s="28"/>
      <c r="N88" s="28"/>
      <c r="O88" s="30"/>
      <c r="P88" s="30"/>
      <c r="Q88" s="28"/>
      <c r="R88" s="28"/>
      <c r="S88" s="113"/>
      <c r="T88" s="134"/>
      <c r="U88" s="133"/>
    </row>
    <row r="89" spans="2:21">
      <c r="B89" s="27"/>
      <c r="C89" s="28"/>
      <c r="D89" s="18"/>
      <c r="E89" s="18"/>
      <c r="F89" s="29"/>
      <c r="G89" s="18"/>
      <c r="H89" s="29"/>
      <c r="I89" s="28"/>
      <c r="J89" s="28"/>
      <c r="K89" s="28"/>
      <c r="L89" s="28"/>
      <c r="M89" s="28"/>
      <c r="N89" s="28"/>
      <c r="O89" s="30"/>
      <c r="P89" s="30"/>
      <c r="Q89" s="28"/>
      <c r="R89" s="28"/>
      <c r="S89" s="113"/>
      <c r="T89" s="134"/>
      <c r="U89" s="133"/>
    </row>
    <row r="90" spans="2:21">
      <c r="B90" s="27"/>
      <c r="C90" s="28"/>
      <c r="D90" s="18"/>
      <c r="E90" s="18"/>
      <c r="F90" s="29"/>
      <c r="G90" s="18"/>
      <c r="H90" s="29"/>
      <c r="I90" s="28"/>
      <c r="J90" s="28"/>
      <c r="K90" s="28"/>
      <c r="L90" s="28"/>
      <c r="M90" s="28"/>
      <c r="N90" s="28"/>
      <c r="O90" s="30"/>
      <c r="P90" s="30"/>
      <c r="Q90" s="28"/>
      <c r="R90" s="28"/>
      <c r="S90" s="113"/>
      <c r="T90" s="134"/>
      <c r="U90" s="133"/>
    </row>
    <row r="91" spans="2:21">
      <c r="B91" s="27"/>
      <c r="C91" s="28"/>
      <c r="D91" s="18"/>
      <c r="E91" s="18"/>
      <c r="F91" s="29"/>
      <c r="G91" s="18"/>
      <c r="H91" s="29"/>
      <c r="I91" s="28"/>
      <c r="J91" s="28"/>
      <c r="K91" s="28"/>
      <c r="L91" s="28"/>
      <c r="M91" s="28"/>
      <c r="N91" s="28"/>
      <c r="O91" s="30"/>
      <c r="P91" s="30"/>
      <c r="Q91" s="28"/>
      <c r="R91" s="28"/>
      <c r="S91" s="113"/>
      <c r="T91" s="134"/>
      <c r="U91" s="133"/>
    </row>
    <row r="92" spans="2:21">
      <c r="B92" s="27"/>
      <c r="C92" s="28"/>
      <c r="D92" s="18"/>
      <c r="E92" s="18"/>
      <c r="F92" s="29"/>
      <c r="G92" s="18"/>
      <c r="H92" s="29"/>
      <c r="I92" s="28"/>
      <c r="J92" s="28"/>
      <c r="K92" s="28"/>
      <c r="L92" s="28"/>
      <c r="M92" s="28"/>
      <c r="N92" s="28"/>
      <c r="O92" s="30"/>
      <c r="P92" s="30"/>
      <c r="Q92" s="28"/>
      <c r="R92" s="28"/>
      <c r="S92" s="113"/>
      <c r="T92" s="134"/>
      <c r="U92" s="133"/>
    </row>
    <row r="93" spans="2:21">
      <c r="B93" s="27"/>
      <c r="C93" s="28"/>
      <c r="D93" s="18"/>
      <c r="E93" s="18"/>
      <c r="F93" s="29"/>
      <c r="G93" s="18"/>
      <c r="H93" s="29"/>
      <c r="I93" s="28"/>
      <c r="J93" s="28"/>
      <c r="K93" s="28"/>
      <c r="L93" s="28"/>
      <c r="M93" s="28"/>
      <c r="N93" s="28"/>
      <c r="O93" s="30"/>
      <c r="P93" s="30"/>
      <c r="Q93" s="28"/>
      <c r="R93" s="28"/>
      <c r="S93" s="113"/>
      <c r="T93" s="134"/>
      <c r="U93" s="133"/>
    </row>
    <row r="94" spans="2:21">
      <c r="B94" s="27"/>
      <c r="C94" s="28"/>
      <c r="D94" s="18"/>
      <c r="E94" s="18"/>
      <c r="F94" s="29"/>
      <c r="G94" s="18"/>
      <c r="H94" s="29"/>
      <c r="I94" s="28"/>
      <c r="J94" s="28"/>
      <c r="K94" s="28"/>
      <c r="L94" s="28"/>
      <c r="M94" s="28"/>
      <c r="N94" s="28"/>
      <c r="O94" s="30"/>
      <c r="P94" s="30"/>
      <c r="Q94" s="28"/>
      <c r="R94" s="28"/>
      <c r="S94" s="113"/>
      <c r="T94" s="134"/>
      <c r="U94" s="133"/>
    </row>
    <row r="95" spans="2:21">
      <c r="B95" s="27"/>
      <c r="C95" s="28"/>
      <c r="D95" s="18"/>
      <c r="E95" s="18"/>
      <c r="F95" s="29"/>
      <c r="G95" s="18"/>
      <c r="H95" s="29"/>
      <c r="I95" s="28"/>
      <c r="J95" s="28"/>
      <c r="K95" s="28"/>
      <c r="L95" s="28"/>
      <c r="M95" s="28"/>
      <c r="N95" s="28"/>
      <c r="O95" s="30"/>
      <c r="P95" s="30"/>
      <c r="Q95" s="28"/>
      <c r="R95" s="28"/>
      <c r="S95" s="113"/>
      <c r="T95" s="134"/>
      <c r="U95" s="133"/>
    </row>
    <row r="96" spans="2:21">
      <c r="B96" s="27"/>
      <c r="C96" s="28"/>
      <c r="D96" s="18"/>
      <c r="E96" s="18"/>
      <c r="F96" s="29"/>
      <c r="G96" s="18"/>
      <c r="H96" s="29"/>
      <c r="I96" s="28"/>
      <c r="J96" s="28"/>
      <c r="K96" s="28"/>
      <c r="L96" s="28"/>
      <c r="M96" s="28"/>
      <c r="N96" s="28"/>
      <c r="O96" s="30"/>
      <c r="P96" s="30"/>
      <c r="Q96" s="28"/>
      <c r="R96" s="28"/>
      <c r="S96" s="113"/>
      <c r="T96" s="134"/>
      <c r="U96" s="133"/>
    </row>
    <row r="97" spans="2:21">
      <c r="B97" s="27"/>
      <c r="C97" s="28"/>
      <c r="D97" s="18"/>
      <c r="E97" s="18"/>
      <c r="F97" s="29"/>
      <c r="G97" s="18"/>
      <c r="H97" s="29"/>
      <c r="I97" s="28"/>
      <c r="J97" s="28"/>
      <c r="K97" s="28"/>
      <c r="L97" s="28"/>
      <c r="M97" s="28"/>
      <c r="N97" s="28"/>
      <c r="O97" s="30"/>
      <c r="P97" s="30"/>
      <c r="Q97" s="28"/>
      <c r="R97" s="28"/>
      <c r="S97" s="113"/>
      <c r="T97" s="134"/>
      <c r="U97" s="133"/>
    </row>
    <row r="98" spans="2:21">
      <c r="B98" s="27"/>
      <c r="C98" s="28"/>
      <c r="D98" s="18"/>
      <c r="E98" s="18"/>
      <c r="F98" s="29"/>
      <c r="G98" s="18"/>
      <c r="H98" s="29"/>
      <c r="I98" s="28"/>
      <c r="J98" s="28"/>
      <c r="K98" s="28"/>
      <c r="L98" s="28"/>
      <c r="M98" s="28"/>
      <c r="N98" s="28"/>
      <c r="O98" s="30"/>
      <c r="P98" s="30"/>
      <c r="Q98" s="28"/>
      <c r="R98" s="28"/>
      <c r="S98" s="113"/>
      <c r="T98" s="134"/>
      <c r="U98" s="133"/>
    </row>
    <row r="99" spans="2:21">
      <c r="B99" s="27"/>
      <c r="C99" s="28"/>
      <c r="D99" s="18"/>
      <c r="E99" s="18"/>
      <c r="F99" s="29"/>
      <c r="G99" s="18"/>
      <c r="H99" s="29"/>
      <c r="I99" s="28"/>
      <c r="J99" s="28"/>
      <c r="K99" s="28"/>
      <c r="L99" s="28"/>
      <c r="M99" s="28"/>
      <c r="N99" s="28"/>
      <c r="O99" s="30"/>
      <c r="P99" s="30"/>
      <c r="Q99" s="28"/>
      <c r="R99" s="28"/>
      <c r="S99" s="113"/>
      <c r="T99" s="134"/>
      <c r="U99" s="133"/>
    </row>
    <row r="100" spans="2:21">
      <c r="B100" s="27"/>
      <c r="C100" s="28"/>
      <c r="D100" s="18"/>
      <c r="E100" s="18"/>
      <c r="F100" s="29"/>
      <c r="G100" s="18"/>
      <c r="H100" s="29"/>
      <c r="I100" s="28"/>
      <c r="J100" s="28"/>
      <c r="K100" s="28"/>
      <c r="L100" s="28"/>
      <c r="M100" s="28"/>
      <c r="N100" s="28"/>
      <c r="O100" s="30"/>
      <c r="P100" s="30"/>
      <c r="Q100" s="28"/>
      <c r="R100" s="28"/>
      <c r="S100" s="113"/>
      <c r="T100" s="134"/>
      <c r="U100" s="133"/>
    </row>
    <row r="101" spans="2:21">
      <c r="B101" s="27"/>
      <c r="C101" s="28"/>
      <c r="D101" s="18"/>
      <c r="E101" s="18"/>
      <c r="F101" s="29"/>
      <c r="G101" s="18"/>
      <c r="H101" s="29"/>
      <c r="I101" s="28"/>
      <c r="J101" s="28"/>
      <c r="K101" s="28"/>
      <c r="L101" s="28"/>
      <c r="M101" s="28"/>
      <c r="N101" s="28"/>
      <c r="O101" s="30"/>
      <c r="P101" s="30"/>
      <c r="Q101" s="28"/>
      <c r="R101" s="28"/>
      <c r="S101" s="113"/>
      <c r="T101" s="134"/>
      <c r="U101" s="133"/>
    </row>
    <row r="102" spans="2:21">
      <c r="B102" s="27"/>
      <c r="C102" s="28"/>
      <c r="D102" s="18"/>
      <c r="E102" s="18"/>
      <c r="F102" s="29"/>
      <c r="G102" s="18"/>
      <c r="H102" s="29"/>
      <c r="I102" s="28"/>
      <c r="J102" s="28"/>
      <c r="K102" s="28"/>
      <c r="L102" s="28"/>
      <c r="M102" s="28"/>
      <c r="N102" s="28"/>
      <c r="O102" s="30"/>
      <c r="P102" s="30"/>
      <c r="Q102" s="28"/>
      <c r="R102" s="28"/>
      <c r="S102" s="113"/>
      <c r="T102" s="134"/>
      <c r="U102" s="133"/>
    </row>
    <row r="103" spans="2:21">
      <c r="B103" s="27"/>
      <c r="C103" s="28"/>
      <c r="D103" s="18"/>
      <c r="E103" s="18"/>
      <c r="F103" s="29"/>
      <c r="G103" s="18"/>
      <c r="H103" s="29"/>
      <c r="I103" s="28"/>
      <c r="J103" s="28"/>
      <c r="K103" s="28"/>
      <c r="L103" s="28"/>
      <c r="M103" s="28"/>
      <c r="N103" s="28"/>
      <c r="O103" s="30"/>
      <c r="P103" s="30"/>
      <c r="Q103" s="28"/>
      <c r="R103" s="28"/>
      <c r="S103" s="113"/>
      <c r="T103" s="134"/>
      <c r="U103" s="133"/>
    </row>
    <row r="104" spans="2:21">
      <c r="B104" s="27"/>
      <c r="C104" s="28"/>
      <c r="D104" s="18"/>
      <c r="E104" s="18"/>
      <c r="F104" s="29"/>
      <c r="G104" s="18"/>
      <c r="H104" s="29"/>
      <c r="I104" s="28"/>
      <c r="J104" s="28"/>
      <c r="K104" s="28"/>
      <c r="L104" s="28"/>
      <c r="M104" s="28"/>
      <c r="N104" s="28"/>
      <c r="O104" s="30"/>
      <c r="P104" s="30"/>
      <c r="Q104" s="28"/>
      <c r="R104" s="28"/>
      <c r="S104" s="113"/>
      <c r="T104" s="134"/>
      <c r="U104" s="133"/>
    </row>
    <row r="105" spans="2:21">
      <c r="B105" s="27"/>
      <c r="C105" s="28"/>
      <c r="D105" s="18"/>
      <c r="E105" s="18"/>
      <c r="F105" s="29"/>
      <c r="G105" s="18"/>
      <c r="H105" s="29"/>
      <c r="I105" s="28"/>
      <c r="J105" s="28"/>
      <c r="K105" s="28"/>
      <c r="L105" s="28"/>
      <c r="M105" s="28"/>
      <c r="N105" s="28"/>
      <c r="O105" s="30"/>
      <c r="P105" s="30"/>
      <c r="Q105" s="28"/>
      <c r="R105" s="28"/>
      <c r="S105" s="113"/>
      <c r="T105" s="134"/>
      <c r="U105" s="133"/>
    </row>
    <row r="106" spans="2:21">
      <c r="B106" s="27"/>
      <c r="C106" s="28"/>
      <c r="D106" s="18"/>
      <c r="E106" s="18"/>
      <c r="F106" s="29"/>
      <c r="G106" s="18"/>
      <c r="H106" s="29"/>
      <c r="I106" s="28"/>
      <c r="J106" s="28"/>
      <c r="K106" s="28"/>
      <c r="L106" s="28"/>
      <c r="M106" s="28"/>
      <c r="N106" s="28"/>
      <c r="O106" s="30"/>
      <c r="P106" s="30"/>
      <c r="Q106" s="28"/>
      <c r="R106" s="28"/>
      <c r="S106" s="113"/>
      <c r="T106" s="134"/>
      <c r="U106" s="133"/>
    </row>
    <row r="107" spans="2:21">
      <c r="B107" s="27"/>
      <c r="C107" s="28"/>
      <c r="D107" s="18"/>
      <c r="E107" s="18"/>
      <c r="F107" s="29"/>
      <c r="G107" s="18"/>
      <c r="H107" s="29"/>
      <c r="I107" s="28"/>
      <c r="J107" s="28"/>
      <c r="K107" s="28"/>
      <c r="L107" s="28"/>
      <c r="M107" s="28"/>
      <c r="N107" s="28"/>
      <c r="O107" s="30"/>
      <c r="P107" s="30"/>
      <c r="Q107" s="28"/>
      <c r="R107" s="28"/>
      <c r="S107" s="113"/>
      <c r="T107" s="134"/>
      <c r="U107" s="133"/>
    </row>
    <row r="108" spans="2:21">
      <c r="B108" s="27"/>
      <c r="C108" s="28"/>
      <c r="D108" s="18"/>
      <c r="E108" s="18"/>
      <c r="F108" s="29"/>
      <c r="G108" s="18"/>
      <c r="H108" s="29"/>
      <c r="I108" s="28"/>
      <c r="J108" s="28"/>
      <c r="K108" s="28"/>
      <c r="L108" s="28"/>
      <c r="M108" s="28"/>
      <c r="N108" s="28"/>
      <c r="O108" s="30"/>
      <c r="P108" s="30"/>
      <c r="Q108" s="28"/>
      <c r="R108" s="28"/>
      <c r="S108" s="113"/>
      <c r="T108" s="134"/>
      <c r="U108" s="133"/>
    </row>
    <row r="109" spans="2:21">
      <c r="B109" s="27"/>
      <c r="C109" s="28"/>
      <c r="D109" s="18"/>
      <c r="E109" s="18"/>
      <c r="F109" s="29"/>
      <c r="G109" s="18"/>
      <c r="H109" s="29"/>
      <c r="I109" s="28"/>
      <c r="J109" s="28"/>
      <c r="K109" s="28"/>
      <c r="L109" s="28"/>
      <c r="M109" s="28"/>
      <c r="N109" s="28"/>
      <c r="O109" s="30"/>
      <c r="P109" s="30"/>
      <c r="Q109" s="28"/>
      <c r="R109" s="28"/>
      <c r="S109" s="113"/>
      <c r="T109" s="134"/>
      <c r="U109" s="133"/>
    </row>
    <row r="110" spans="2:21">
      <c r="B110" s="27"/>
      <c r="C110" s="28"/>
      <c r="D110" s="18"/>
      <c r="E110" s="18"/>
      <c r="F110" s="29"/>
      <c r="G110" s="18"/>
      <c r="H110" s="29"/>
      <c r="I110" s="28"/>
      <c r="J110" s="28"/>
      <c r="K110" s="28"/>
      <c r="L110" s="28"/>
      <c r="M110" s="28"/>
      <c r="N110" s="28"/>
      <c r="O110" s="30"/>
      <c r="P110" s="30"/>
      <c r="Q110" s="28"/>
      <c r="R110" s="28"/>
      <c r="S110" s="113"/>
      <c r="T110" s="134"/>
      <c r="U110" s="133"/>
    </row>
    <row r="111" spans="2:21">
      <c r="B111" s="27"/>
      <c r="C111" s="28"/>
      <c r="D111" s="18"/>
      <c r="E111" s="18"/>
      <c r="F111" s="29"/>
      <c r="G111" s="18"/>
      <c r="H111" s="29"/>
      <c r="I111" s="28"/>
      <c r="J111" s="28"/>
      <c r="K111" s="28"/>
      <c r="L111" s="28"/>
      <c r="M111" s="28"/>
      <c r="N111" s="28"/>
      <c r="O111" s="30"/>
      <c r="P111" s="30"/>
      <c r="Q111" s="28"/>
      <c r="R111" s="28"/>
      <c r="S111" s="113"/>
      <c r="T111" s="134"/>
      <c r="U111" s="133"/>
    </row>
    <row r="112" spans="2:21">
      <c r="B112" s="27"/>
      <c r="C112" s="28"/>
      <c r="D112" s="18"/>
      <c r="E112" s="18"/>
      <c r="F112" s="29"/>
      <c r="G112" s="18"/>
      <c r="H112" s="29"/>
      <c r="I112" s="28"/>
      <c r="J112" s="28"/>
      <c r="K112" s="28"/>
      <c r="L112" s="28"/>
      <c r="M112" s="28"/>
      <c r="N112" s="28"/>
      <c r="O112" s="30"/>
      <c r="P112" s="30"/>
      <c r="Q112" s="28"/>
      <c r="R112" s="28"/>
      <c r="S112" s="113"/>
      <c r="T112" s="134"/>
      <c r="U112" s="133"/>
    </row>
    <row r="113" spans="2:21">
      <c r="B113" s="27"/>
      <c r="C113" s="28"/>
      <c r="D113" s="18"/>
      <c r="E113" s="18"/>
      <c r="F113" s="29"/>
      <c r="G113" s="18"/>
      <c r="H113" s="29"/>
      <c r="I113" s="28"/>
      <c r="J113" s="28"/>
      <c r="K113" s="28"/>
      <c r="L113" s="28"/>
      <c r="M113" s="28"/>
      <c r="N113" s="28"/>
      <c r="O113" s="30"/>
      <c r="P113" s="30"/>
      <c r="Q113" s="28"/>
      <c r="R113" s="28"/>
      <c r="S113" s="113"/>
      <c r="T113" s="134"/>
      <c r="U113" s="133"/>
    </row>
    <row r="114" spans="2:21">
      <c r="B114" s="27"/>
      <c r="C114" s="28"/>
      <c r="D114" s="18"/>
      <c r="E114" s="18"/>
      <c r="F114" s="29"/>
      <c r="G114" s="18"/>
      <c r="H114" s="29"/>
      <c r="I114" s="28"/>
      <c r="J114" s="28"/>
      <c r="K114" s="28"/>
      <c r="L114" s="28"/>
      <c r="M114" s="28"/>
      <c r="N114" s="28"/>
      <c r="O114" s="30"/>
      <c r="P114" s="30"/>
      <c r="Q114" s="28"/>
      <c r="R114" s="28"/>
      <c r="S114" s="113"/>
      <c r="T114" s="134"/>
      <c r="U114" s="133"/>
    </row>
    <row r="115" spans="2:21">
      <c r="B115" s="27"/>
      <c r="C115" s="28"/>
      <c r="D115" s="18"/>
      <c r="E115" s="18"/>
      <c r="F115" s="29"/>
      <c r="G115" s="18"/>
      <c r="H115" s="29"/>
      <c r="I115" s="28"/>
      <c r="J115" s="28"/>
      <c r="K115" s="28"/>
      <c r="L115" s="28"/>
      <c r="M115" s="28"/>
      <c r="N115" s="28"/>
      <c r="O115" s="30"/>
      <c r="P115" s="30"/>
      <c r="Q115" s="28"/>
      <c r="R115" s="28"/>
      <c r="S115" s="113"/>
      <c r="T115" s="134"/>
      <c r="U115" s="133"/>
    </row>
    <row r="116" spans="2:21">
      <c r="B116" s="27"/>
      <c r="C116" s="28"/>
      <c r="D116" s="18"/>
      <c r="E116" s="18"/>
      <c r="F116" s="29"/>
      <c r="G116" s="18"/>
      <c r="H116" s="29"/>
      <c r="I116" s="28"/>
      <c r="J116" s="28"/>
      <c r="K116" s="28"/>
      <c r="L116" s="28"/>
      <c r="M116" s="28"/>
      <c r="N116" s="28"/>
      <c r="O116" s="30"/>
      <c r="P116" s="30"/>
      <c r="Q116" s="28"/>
      <c r="R116" s="28"/>
      <c r="S116" s="113"/>
      <c r="T116" s="134"/>
      <c r="U116" s="133"/>
    </row>
    <row r="117" spans="2:21">
      <c r="B117" s="27"/>
      <c r="C117" s="28"/>
      <c r="D117" s="18"/>
      <c r="E117" s="18"/>
      <c r="F117" s="29"/>
      <c r="G117" s="18"/>
      <c r="H117" s="29"/>
      <c r="I117" s="28"/>
      <c r="J117" s="28"/>
      <c r="K117" s="28"/>
      <c r="L117" s="28"/>
      <c r="M117" s="28"/>
      <c r="N117" s="28"/>
      <c r="O117" s="30"/>
      <c r="P117" s="30"/>
      <c r="Q117" s="28"/>
      <c r="R117" s="28"/>
      <c r="S117" s="113"/>
      <c r="T117" s="134"/>
      <c r="U117" s="133"/>
    </row>
    <row r="118" spans="2:21">
      <c r="B118" s="27"/>
      <c r="C118" s="28"/>
      <c r="D118" s="18"/>
      <c r="E118" s="18"/>
      <c r="F118" s="29"/>
      <c r="G118" s="18"/>
      <c r="H118" s="29"/>
      <c r="I118" s="28"/>
      <c r="J118" s="28"/>
      <c r="K118" s="28"/>
      <c r="L118" s="28"/>
      <c r="M118" s="28"/>
      <c r="N118" s="28"/>
      <c r="O118" s="30"/>
      <c r="P118" s="30"/>
      <c r="Q118" s="28"/>
      <c r="R118" s="28"/>
      <c r="S118" s="113"/>
      <c r="T118" s="134"/>
      <c r="U118" s="133"/>
    </row>
    <row r="119" spans="2:21">
      <c r="B119" s="27"/>
      <c r="C119" s="28"/>
      <c r="D119" s="18"/>
      <c r="E119" s="18"/>
      <c r="F119" s="29"/>
      <c r="G119" s="18"/>
      <c r="H119" s="29"/>
      <c r="I119" s="28"/>
      <c r="J119" s="28"/>
      <c r="K119" s="28"/>
      <c r="L119" s="28"/>
      <c r="M119" s="28"/>
      <c r="N119" s="28"/>
      <c r="O119" s="30"/>
      <c r="P119" s="30"/>
      <c r="Q119" s="28"/>
      <c r="R119" s="28"/>
      <c r="U119" s="133"/>
    </row>
    <row r="120" spans="2:21">
      <c r="B120" s="27"/>
      <c r="C120" s="28"/>
      <c r="D120" s="18"/>
      <c r="E120" s="18"/>
      <c r="F120" s="29"/>
      <c r="G120" s="18"/>
      <c r="H120" s="29"/>
      <c r="I120" s="28"/>
      <c r="J120" s="28"/>
      <c r="K120" s="28"/>
      <c r="L120" s="28"/>
      <c r="M120" s="28"/>
      <c r="N120" s="28"/>
      <c r="O120" s="30"/>
      <c r="P120" s="30"/>
    </row>
    <row r="121" spans="2:21">
      <c r="B121" s="27"/>
      <c r="C121" s="28"/>
      <c r="D121" s="18"/>
      <c r="E121" s="18"/>
      <c r="F121" s="29"/>
      <c r="G121" s="18"/>
      <c r="H121" s="29"/>
      <c r="I121" s="28"/>
      <c r="J121" s="28"/>
      <c r="K121" s="28"/>
      <c r="L121" s="28"/>
      <c r="M121" s="28"/>
      <c r="N121" s="28"/>
      <c r="O121" s="30"/>
      <c r="P121" s="30"/>
    </row>
    <row r="122" spans="2:21">
      <c r="B122" s="27"/>
      <c r="C122" s="28"/>
      <c r="D122" s="18"/>
      <c r="E122" s="18"/>
      <c r="F122" s="29"/>
      <c r="G122" s="18"/>
      <c r="H122" s="29"/>
      <c r="I122" s="28"/>
      <c r="J122" s="28"/>
      <c r="K122" s="28"/>
      <c r="L122" s="28"/>
      <c r="M122" s="28"/>
      <c r="N122" s="28"/>
      <c r="O122" s="30"/>
      <c r="P122" s="30"/>
    </row>
    <row r="123" spans="2:21">
      <c r="B123" s="27"/>
      <c r="C123" s="28"/>
      <c r="D123" s="18"/>
      <c r="E123" s="18"/>
      <c r="F123" s="29"/>
      <c r="G123" s="18"/>
      <c r="H123" s="29"/>
      <c r="I123" s="28"/>
      <c r="J123" s="28"/>
      <c r="K123" s="28"/>
      <c r="L123" s="28"/>
      <c r="M123" s="28"/>
      <c r="N123" s="28"/>
      <c r="O123" s="30"/>
    </row>
    <row r="124" spans="2:21">
      <c r="B124" s="27"/>
      <c r="C124" s="28"/>
      <c r="D124" s="18"/>
      <c r="E124" s="18"/>
      <c r="F124" s="29"/>
      <c r="G124" s="18"/>
      <c r="H124" s="29"/>
      <c r="I124" s="28"/>
      <c r="J124" s="28"/>
      <c r="K124" s="28"/>
      <c r="L124" s="28"/>
      <c r="M124" s="28"/>
      <c r="N124" s="28"/>
      <c r="O124" s="30"/>
    </row>
    <row r="125" spans="2:21">
      <c r="B125" s="27"/>
      <c r="C125" s="28"/>
      <c r="D125" s="18"/>
      <c r="E125" s="18"/>
      <c r="F125" s="29"/>
      <c r="G125" s="18"/>
    </row>
    <row r="126" spans="2:21">
      <c r="B126" s="27"/>
      <c r="C126" s="28"/>
      <c r="D126" s="18"/>
      <c r="E126" s="18"/>
      <c r="F126" s="29"/>
    </row>
  </sheetData>
  <sheetProtection sheet="1" selectLockedCells="1"/>
  <mergeCells count="4">
    <mergeCell ref="AA6:AB6"/>
    <mergeCell ref="AD6:AE6"/>
    <mergeCell ref="B13:D13"/>
    <mergeCell ref="K13:M13"/>
  </mergeCells>
  <printOptions horizontalCentered="1"/>
  <pageMargins left="0.1701388888888889" right="0.4597222222222222" top="0.3298611111111111" bottom="0.72013888888888888" header="0.51180555555555551" footer="0.51180555555555551"/>
  <pageSetup scale="96" firstPageNumber="0" orientation="landscape" horizontalDpi="300" verticalDpi="30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126"/>
  <sheetViews>
    <sheetView showGridLines="0" showRowColHeaders="0" showZeros="0" showOutlineSymbols="0" zoomScale="170" zoomScaleNormal="170" workbookViewId="0">
      <selection activeCell="E16" sqref="E16"/>
    </sheetView>
  </sheetViews>
  <sheetFormatPr baseColWidth="10" defaultColWidth="8" defaultRowHeight="11"/>
  <cols>
    <col min="1" max="1" width="8" style="18" customWidth="1"/>
    <col min="2" max="2" width="8.1640625" style="19" customWidth="1"/>
    <col min="3" max="3" width="6.6640625" style="20" customWidth="1"/>
    <col min="4" max="5" width="6.6640625" style="21" customWidth="1"/>
    <col min="6" max="6" width="6.6640625" style="22" customWidth="1"/>
    <col min="7" max="7" width="6.6640625" style="21" customWidth="1"/>
    <col min="8" max="8" width="6.6640625" style="22" customWidth="1"/>
    <col min="9" max="9" width="6.6640625" style="20" customWidth="1"/>
    <col min="10" max="10" width="9.6640625" style="20" customWidth="1"/>
    <col min="11" max="11" width="6.6640625" style="20" customWidth="1"/>
    <col min="12" max="12" width="5.6640625" style="20" customWidth="1"/>
    <col min="13" max="13" width="6.6640625" style="20" customWidth="1"/>
    <col min="14" max="14" width="8.6640625" style="20" customWidth="1"/>
    <col min="15" max="16" width="6.6640625" style="23" customWidth="1"/>
    <col min="17" max="17" width="5.5" style="20" customWidth="1"/>
    <col min="18" max="18" width="7.33203125" style="20" customWidth="1"/>
    <col min="19" max="19" width="6.33203125" style="24" customWidth="1"/>
    <col min="20" max="20" width="6.1640625" style="25" customWidth="1"/>
    <col min="21" max="21" width="6.5" style="26" customWidth="1"/>
    <col min="22" max="31" width="8" style="18" customWidth="1"/>
    <col min="32" max="16384" width="8" style="18"/>
  </cols>
  <sheetData>
    <row r="1" spans="1:32" s="31" customFormat="1" ht="13">
      <c r="A1" s="18"/>
      <c r="B1" s="27"/>
      <c r="C1" s="28"/>
      <c r="D1" s="18"/>
      <c r="E1" s="18"/>
      <c r="F1" s="29"/>
      <c r="G1" s="18"/>
      <c r="H1" s="29"/>
      <c r="I1" s="28"/>
      <c r="J1" s="28"/>
      <c r="K1" s="28"/>
      <c r="L1" s="28"/>
      <c r="M1" s="28"/>
      <c r="N1" s="28"/>
      <c r="O1" s="30"/>
      <c r="P1" s="30"/>
      <c r="R1" s="165" t="s">
        <v>115</v>
      </c>
      <c r="S1" s="28"/>
      <c r="T1" s="32"/>
      <c r="U1" s="32"/>
      <c r="V1" s="33"/>
      <c r="W1" s="34"/>
      <c r="X1" s="35"/>
    </row>
    <row r="2" spans="1:32" s="31" customFormat="1" ht="14">
      <c r="B2" s="36" t="s">
        <v>116</v>
      </c>
      <c r="C2" s="37"/>
      <c r="D2" s="38"/>
      <c r="E2" s="38"/>
      <c r="F2" s="39"/>
      <c r="G2" s="38"/>
      <c r="H2" s="38"/>
      <c r="I2" s="39"/>
      <c r="J2" s="38"/>
      <c r="K2" s="39"/>
      <c r="L2" s="37"/>
      <c r="M2" s="37"/>
      <c r="N2" s="37"/>
      <c r="O2" s="40"/>
      <c r="P2" s="32"/>
      <c r="R2" s="165" t="s">
        <v>117</v>
      </c>
      <c r="S2"/>
      <c r="T2"/>
      <c r="U2"/>
      <c r="V2"/>
      <c r="W2"/>
      <c r="X2"/>
    </row>
    <row r="3" spans="1:32" s="31" customFormat="1" ht="14">
      <c r="B3" s="41"/>
      <c r="C3" s="42" t="s">
        <v>118</v>
      </c>
      <c r="D3" s="43" t="s">
        <v>74</v>
      </c>
      <c r="E3" s="44"/>
      <c r="F3" s="45" t="s">
        <v>119</v>
      </c>
      <c r="G3" s="46" t="s">
        <v>120</v>
      </c>
      <c r="H3" s="44"/>
      <c r="I3" s="45" t="s">
        <v>121</v>
      </c>
      <c r="J3" s="47"/>
      <c r="K3" s="48"/>
      <c r="L3" s="49" t="s">
        <v>122</v>
      </c>
      <c r="M3" s="50">
        <v>0.35416666666666669</v>
      </c>
      <c r="N3" s="48" t="s">
        <v>123</v>
      </c>
      <c r="O3" s="51">
        <v>6.25E-2</v>
      </c>
      <c r="P3" s="32"/>
      <c r="R3" s="165" t="s">
        <v>182</v>
      </c>
      <c r="S3"/>
      <c r="T3"/>
      <c r="U3"/>
      <c r="V3"/>
      <c r="W3"/>
      <c r="X3"/>
    </row>
    <row r="4" spans="1:32" s="31" customFormat="1" ht="14">
      <c r="F4" s="52"/>
      <c r="J4" s="53"/>
      <c r="K4" s="54"/>
      <c r="L4" s="55"/>
      <c r="M4" s="53"/>
      <c r="N4" s="54"/>
      <c r="O4" s="56"/>
      <c r="P4" s="32"/>
      <c r="R4" s="165" t="s">
        <v>125</v>
      </c>
      <c r="S4"/>
      <c r="T4"/>
      <c r="U4"/>
      <c r="V4"/>
      <c r="W4"/>
      <c r="X4"/>
    </row>
    <row r="5" spans="1:32" s="31" customFormat="1" ht="14">
      <c r="B5" s="169" t="s">
        <v>126</v>
      </c>
      <c r="C5" s="57"/>
      <c r="D5" s="57"/>
      <c r="E5" s="58"/>
      <c r="F5" s="250">
        <v>65</v>
      </c>
      <c r="N5" s="35"/>
      <c r="O5" s="32"/>
      <c r="P5" s="32"/>
      <c r="R5" s="165" t="s">
        <v>183</v>
      </c>
      <c r="S5"/>
      <c r="T5"/>
      <c r="U5"/>
      <c r="V5"/>
      <c r="W5"/>
      <c r="X5"/>
      <c r="AA5" s="36" t="s">
        <v>128</v>
      </c>
      <c r="AB5" s="37"/>
      <c r="AC5" s="38"/>
      <c r="AD5" s="38"/>
      <c r="AE5" s="40"/>
    </row>
    <row r="6" spans="1:32" s="31" customFormat="1" ht="14">
      <c r="B6" s="169" t="s">
        <v>129</v>
      </c>
      <c r="C6" s="57"/>
      <c r="D6" s="57"/>
      <c r="E6" s="58"/>
      <c r="F6" s="250">
        <v>4</v>
      </c>
      <c r="G6" s="32" t="s">
        <v>130</v>
      </c>
      <c r="J6" s="59" t="s">
        <v>131</v>
      </c>
      <c r="K6" s="60"/>
      <c r="L6" s="61"/>
      <c r="M6" s="62"/>
      <c r="N6" s="35"/>
      <c r="O6" s="32"/>
      <c r="P6" s="32"/>
      <c r="R6" s="165" t="s">
        <v>184</v>
      </c>
      <c r="S6"/>
      <c r="T6"/>
      <c r="U6"/>
      <c r="V6"/>
      <c r="W6"/>
      <c r="X6"/>
      <c r="AA6" s="270" t="s">
        <v>133</v>
      </c>
      <c r="AB6" s="270"/>
      <c r="AC6" s="63"/>
      <c r="AD6" s="271" t="s">
        <v>134</v>
      </c>
      <c r="AE6" s="271"/>
    </row>
    <row r="7" spans="1:32" s="31" customFormat="1" ht="14">
      <c r="B7" s="169" t="s">
        <v>135</v>
      </c>
      <c r="C7" s="57"/>
      <c r="D7" s="57"/>
      <c r="E7" s="58"/>
      <c r="F7" s="251">
        <f>Front_Passengers+Rear_Passengers+F16+F17+Baggage_1+Baggage_2</f>
        <v>775</v>
      </c>
      <c r="G7" s="32"/>
      <c r="J7" s="252" t="s">
        <v>136</v>
      </c>
      <c r="K7" s="253"/>
      <c r="L7" s="254"/>
      <c r="M7" s="255">
        <v>2950</v>
      </c>
      <c r="N7" s="35"/>
      <c r="O7" s="32"/>
      <c r="P7" s="32"/>
      <c r="R7" s="165" t="s">
        <v>185</v>
      </c>
      <c r="S7"/>
      <c r="T7"/>
      <c r="U7"/>
      <c r="V7"/>
      <c r="W7"/>
      <c r="X7"/>
      <c r="AA7" s="64" t="s">
        <v>138</v>
      </c>
      <c r="AB7" s="65" t="s">
        <v>139</v>
      </c>
      <c r="AC7" s="66"/>
      <c r="AD7" s="67" t="s">
        <v>140</v>
      </c>
      <c r="AE7" s="68" t="s">
        <v>139</v>
      </c>
    </row>
    <row r="8" spans="1:32" s="31" customFormat="1" ht="14">
      <c r="B8" s="166" t="s">
        <v>141</v>
      </c>
      <c r="C8" s="57"/>
      <c r="D8" s="256"/>
      <c r="E8" s="257"/>
      <c r="F8" s="251">
        <f>(Departure_Fuel)/12.7</f>
        <v>5</v>
      </c>
      <c r="G8" s="32" t="s">
        <v>130</v>
      </c>
      <c r="J8" s="258" t="s">
        <v>142</v>
      </c>
      <c r="K8" s="69"/>
      <c r="L8" s="70"/>
      <c r="M8" s="259">
        <f>Total_Departure_Weight</f>
        <v>2949.24</v>
      </c>
      <c r="N8" s="71">
        <f>M8/M7</f>
        <v>0.99974237288135581</v>
      </c>
      <c r="O8" s="32" t="s">
        <v>143</v>
      </c>
      <c r="P8" s="32"/>
      <c r="R8" s="165" t="s">
        <v>186</v>
      </c>
      <c r="S8"/>
      <c r="T8"/>
      <c r="U8"/>
      <c r="V8"/>
      <c r="W8"/>
      <c r="X8"/>
      <c r="AA8" s="72">
        <v>59.5</v>
      </c>
      <c r="AB8" s="73">
        <v>1800</v>
      </c>
      <c r="AC8" s="74"/>
      <c r="AD8" s="75">
        <v>33</v>
      </c>
      <c r="AE8" s="76">
        <v>1800</v>
      </c>
    </row>
    <row r="9" spans="1:32" s="31" customFormat="1" ht="13">
      <c r="B9" s="166" t="s">
        <v>145</v>
      </c>
      <c r="C9" s="57"/>
      <c r="D9" s="256"/>
      <c r="E9" s="257"/>
      <c r="F9" s="260">
        <f>F8-F6</f>
        <v>1</v>
      </c>
      <c r="G9" s="32" t="s">
        <v>130</v>
      </c>
      <c r="J9" s="261" t="s">
        <v>146</v>
      </c>
      <c r="K9" s="77"/>
      <c r="L9" s="78"/>
      <c r="M9" s="79">
        <f>M7-M8</f>
        <v>0.76000000000021828</v>
      </c>
      <c r="N9" s="80"/>
      <c r="O9" s="32"/>
      <c r="P9" s="81"/>
      <c r="R9" s="81"/>
      <c r="S9" s="81"/>
      <c r="T9" s="81"/>
      <c r="AA9" s="72">
        <v>74</v>
      </c>
      <c r="AB9" s="73">
        <v>2250</v>
      </c>
      <c r="AC9" s="74"/>
      <c r="AD9" s="75">
        <v>33</v>
      </c>
      <c r="AE9" s="76">
        <v>2250</v>
      </c>
    </row>
    <row r="10" spans="1:32" s="31" customFormat="1" ht="13">
      <c r="B10" s="167" t="s">
        <v>147</v>
      </c>
      <c r="C10" s="32"/>
      <c r="D10" s="32"/>
      <c r="G10" s="54"/>
      <c r="I10" s="54"/>
      <c r="J10" s="32"/>
      <c r="K10" s="32"/>
      <c r="L10" s="32"/>
      <c r="M10" s="32"/>
      <c r="O10" s="82"/>
      <c r="P10" s="81"/>
      <c r="R10" s="81"/>
      <c r="S10" s="81"/>
      <c r="T10" s="81"/>
      <c r="AA10" s="72">
        <v>116.6</v>
      </c>
      <c r="AB10" s="73">
        <v>2950</v>
      </c>
      <c r="AC10" s="74"/>
      <c r="AD10" s="75">
        <v>39.5</v>
      </c>
      <c r="AE10" s="76">
        <v>2950</v>
      </c>
    </row>
    <row r="11" spans="1:32" s="31" customFormat="1" ht="13">
      <c r="B11" s="167"/>
      <c r="C11" s="32"/>
      <c r="D11" s="32"/>
      <c r="G11" s="54"/>
      <c r="I11" s="54"/>
      <c r="J11" s="32"/>
      <c r="K11" s="32"/>
      <c r="L11" s="32"/>
      <c r="M11" s="32"/>
      <c r="O11" s="82"/>
      <c r="P11" s="81"/>
      <c r="R11" s="81"/>
      <c r="S11" s="81"/>
      <c r="T11" s="81"/>
      <c r="AA11" s="72">
        <v>143</v>
      </c>
      <c r="AB11" s="73">
        <v>2950</v>
      </c>
      <c r="AC11" s="74"/>
      <c r="AD11" s="75">
        <v>48.5</v>
      </c>
      <c r="AE11" s="76">
        <v>2950</v>
      </c>
    </row>
    <row r="12" spans="1:32" s="31" customFormat="1" ht="12">
      <c r="B12" s="36" t="s">
        <v>148</v>
      </c>
      <c r="C12" s="37"/>
      <c r="D12" s="38"/>
      <c r="E12" s="38"/>
      <c r="F12" s="38"/>
      <c r="G12" s="39"/>
      <c r="H12" s="40"/>
      <c r="K12" s="36" t="s">
        <v>149</v>
      </c>
      <c r="L12" s="37"/>
      <c r="M12" s="38"/>
      <c r="N12" s="38"/>
      <c r="O12" s="39"/>
      <c r="P12" s="40"/>
      <c r="R12" s="81"/>
      <c r="S12" s="83"/>
      <c r="T12" s="31" t="s">
        <v>150</v>
      </c>
      <c r="AA12" s="72">
        <v>87</v>
      </c>
      <c r="AB12" s="73">
        <v>1800</v>
      </c>
      <c r="AC12" s="74"/>
      <c r="AD12" s="84">
        <v>48.5</v>
      </c>
      <c r="AE12" s="85">
        <v>1800</v>
      </c>
    </row>
    <row r="13" spans="1:32" s="31" customFormat="1" ht="12.75" customHeight="1">
      <c r="B13" s="272" t="s">
        <v>151</v>
      </c>
      <c r="C13" s="272"/>
      <c r="D13" s="272"/>
      <c r="E13" s="86" t="s">
        <v>139</v>
      </c>
      <c r="F13" s="87"/>
      <c r="G13" s="88" t="s">
        <v>152</v>
      </c>
      <c r="H13" s="89" t="s">
        <v>138</v>
      </c>
      <c r="K13" s="272" t="s">
        <v>151</v>
      </c>
      <c r="L13" s="272"/>
      <c r="M13" s="272"/>
      <c r="N13" s="86" t="s">
        <v>139</v>
      </c>
      <c r="O13" s="88" t="s">
        <v>152</v>
      </c>
      <c r="P13" s="89" t="s">
        <v>138</v>
      </c>
      <c r="Q13" s="81"/>
      <c r="R13" s="81"/>
      <c r="S13" s="81"/>
      <c r="T13" s="81"/>
      <c r="AB13" s="90"/>
      <c r="AC13" s="90"/>
      <c r="AD13" s="90"/>
    </row>
    <row r="14" spans="1:32" s="31" customFormat="1" ht="12">
      <c r="B14" s="91"/>
      <c r="C14" s="32"/>
      <c r="E14" s="92" t="s">
        <v>153</v>
      </c>
      <c r="F14" s="93"/>
      <c r="G14" s="94" t="s">
        <v>154</v>
      </c>
      <c r="H14" s="95" t="s">
        <v>155</v>
      </c>
      <c r="K14" s="91"/>
      <c r="L14" s="32"/>
      <c r="N14" s="92" t="s">
        <v>153</v>
      </c>
      <c r="O14" s="94" t="s">
        <v>154</v>
      </c>
      <c r="P14" s="95" t="s">
        <v>155</v>
      </c>
      <c r="Q14" s="81"/>
      <c r="S14" s="81"/>
      <c r="T14" s="35"/>
    </row>
    <row r="15" spans="1:32" s="31" customFormat="1" ht="12">
      <c r="B15" s="96"/>
      <c r="C15" s="97"/>
      <c r="D15" s="98" t="s">
        <v>156</v>
      </c>
      <c r="E15" s="99">
        <v>1793.24</v>
      </c>
      <c r="F15" s="100"/>
      <c r="G15" s="101">
        <f>IF(Empty_Weight,Empty_Moment*1000/Empty_Weight,"")</f>
        <v>36.573771497401353</v>
      </c>
      <c r="H15" s="102">
        <v>65.585549999999998</v>
      </c>
      <c r="K15" s="96"/>
      <c r="L15" s="97"/>
      <c r="M15" s="98" t="s">
        <v>156</v>
      </c>
      <c r="N15" s="99">
        <f>Empty_Weight</f>
        <v>1793.24</v>
      </c>
      <c r="O15" s="101">
        <f>Empty_Arm</f>
        <v>36.573771497401353</v>
      </c>
      <c r="P15" s="102">
        <f>Empty_Moment</f>
        <v>65.585549999999998</v>
      </c>
      <c r="Q15" s="81"/>
      <c r="S15" s="54"/>
      <c r="T15" s="35"/>
      <c r="W15" s="35"/>
    </row>
    <row r="16" spans="1:32" s="31" customFormat="1" ht="12">
      <c r="B16" s="103"/>
      <c r="C16" s="104"/>
      <c r="D16" s="105" t="s">
        <v>157</v>
      </c>
      <c r="E16" s="106">
        <v>200</v>
      </c>
      <c r="F16" s="107">
        <v>160</v>
      </c>
      <c r="G16" s="108">
        <v>37</v>
      </c>
      <c r="H16" s="109">
        <f>(Front_Passengers+F16)*Front_Passenger_Arm/1000</f>
        <v>13.32</v>
      </c>
      <c r="K16" s="103"/>
      <c r="L16" s="104"/>
      <c r="M16" s="105" t="s">
        <v>157</v>
      </c>
      <c r="N16" s="110">
        <f>Front_Passengers+F16</f>
        <v>360</v>
      </c>
      <c r="O16" s="108">
        <f>Front_Passenger_Arm</f>
        <v>37</v>
      </c>
      <c r="P16" s="109">
        <f>Front_Passenger_Moment</f>
        <v>13.32</v>
      </c>
      <c r="Q16" s="81"/>
      <c r="S16" s="54"/>
      <c r="T16" s="35"/>
      <c r="W16" s="18"/>
      <c r="AA16" s="18"/>
      <c r="AB16" s="18"/>
      <c r="AC16" s="18"/>
      <c r="AD16" s="18"/>
      <c r="AE16" s="18"/>
      <c r="AF16" s="18"/>
    </row>
    <row r="17" spans="2:21" ht="12">
      <c r="B17" s="111"/>
      <c r="C17" s="104"/>
      <c r="D17" s="112" t="s">
        <v>158</v>
      </c>
      <c r="E17" s="106">
        <v>165</v>
      </c>
      <c r="F17" s="107">
        <v>200</v>
      </c>
      <c r="G17" s="108">
        <v>74</v>
      </c>
      <c r="H17" s="109">
        <f>(Rear_Passengers+F17)*Rear_Passenger_Arm/1000</f>
        <v>27.01</v>
      </c>
      <c r="I17" s="31"/>
      <c r="J17" s="31"/>
      <c r="K17" s="111"/>
      <c r="L17" s="104"/>
      <c r="M17" s="112" t="s">
        <v>158</v>
      </c>
      <c r="N17" s="110">
        <f>Rear_Passengers+F17</f>
        <v>365</v>
      </c>
      <c r="O17" s="108">
        <f>Rear_Passenger_Arm</f>
        <v>74</v>
      </c>
      <c r="P17" s="109">
        <f>Rear_Passenger_Moment</f>
        <v>27.01</v>
      </c>
      <c r="Q17" s="81"/>
      <c r="R17" s="31"/>
      <c r="S17" s="54"/>
      <c r="T17" s="113"/>
      <c r="U17" s="18"/>
    </row>
    <row r="18" spans="2:21" ht="12">
      <c r="B18" s="114"/>
      <c r="C18" s="104"/>
      <c r="D18" s="112" t="s">
        <v>159</v>
      </c>
      <c r="E18" s="106">
        <v>0</v>
      </c>
      <c r="F18" s="115"/>
      <c r="G18" s="108">
        <v>97</v>
      </c>
      <c r="H18" s="109">
        <f>Baggage_1*Baggage_1_Arm/1000</f>
        <v>0</v>
      </c>
      <c r="I18" s="31"/>
      <c r="J18" s="31"/>
      <c r="K18" s="114"/>
      <c r="L18" s="104"/>
      <c r="M18" s="112" t="s">
        <v>160</v>
      </c>
      <c r="N18" s="110">
        <f>Baggage_1</f>
        <v>0</v>
      </c>
      <c r="O18" s="108">
        <f>Baggage_1_Arm</f>
        <v>97</v>
      </c>
      <c r="P18" s="109">
        <f>Baggage_1_Moment</f>
        <v>0</v>
      </c>
      <c r="Q18" s="31"/>
      <c r="R18" s="28"/>
      <c r="S18" s="28"/>
      <c r="T18" s="113"/>
      <c r="U18" s="18"/>
    </row>
    <row r="19" spans="2:21" ht="12">
      <c r="B19" s="114"/>
      <c r="C19" s="104"/>
      <c r="D19" s="112" t="s">
        <v>161</v>
      </c>
      <c r="E19" s="106">
        <v>50</v>
      </c>
      <c r="F19" s="116"/>
      <c r="G19" s="108">
        <v>115</v>
      </c>
      <c r="H19" s="109">
        <f>Baggage_2*Baggage_2_Arm/1000</f>
        <v>5.75</v>
      </c>
      <c r="I19" s="31"/>
      <c r="J19" s="18"/>
      <c r="K19" s="114"/>
      <c r="L19" s="104"/>
      <c r="M19" s="112" t="s">
        <v>162</v>
      </c>
      <c r="N19" s="110">
        <f>Baggage_2</f>
        <v>50</v>
      </c>
      <c r="O19" s="108">
        <f>Baggage_2_Arm</f>
        <v>115</v>
      </c>
      <c r="P19" s="109">
        <f>Baggage_2_Moment</f>
        <v>5.75</v>
      </c>
      <c r="Q19" s="31"/>
      <c r="R19" s="28"/>
      <c r="S19" s="28"/>
      <c r="T19" s="18"/>
      <c r="U19" s="18"/>
    </row>
    <row r="20" spans="2:21" ht="12">
      <c r="B20" s="111"/>
      <c r="C20" s="117" t="s">
        <v>163</v>
      </c>
      <c r="D20" s="108">
        <f>F5-Grnd_Ops_Fuel</f>
        <v>63.5</v>
      </c>
      <c r="E20" s="110">
        <f>(Departure_Fuel)*6</f>
        <v>381</v>
      </c>
      <c r="F20" s="118"/>
      <c r="G20" s="108">
        <v>47.916666666666664</v>
      </c>
      <c r="H20" s="109">
        <f>Departure_Fuel_Weight*Fuel_Arm/1000</f>
        <v>18.256250000000001</v>
      </c>
      <c r="I20" s="31"/>
      <c r="J20" s="18"/>
      <c r="K20" s="119"/>
      <c r="L20" s="117" t="s">
        <v>164</v>
      </c>
      <c r="M20" s="108">
        <f>Departure_Fuel-F6*12.7</f>
        <v>12.700000000000003</v>
      </c>
      <c r="N20" s="110">
        <f>Arrival_Fuel*6</f>
        <v>76.200000000000017</v>
      </c>
      <c r="O20" s="108">
        <f>Fuel_Arm</f>
        <v>47.916666666666664</v>
      </c>
      <c r="P20" s="109">
        <f>Arrival_Fuel_Weight*Fuel_Arm/1000</f>
        <v>3.6512500000000006</v>
      </c>
      <c r="Q20" s="31"/>
      <c r="R20" s="18"/>
      <c r="S20" s="18"/>
      <c r="T20" s="18"/>
      <c r="U20" s="18"/>
    </row>
    <row r="21" spans="2:21" ht="12">
      <c r="B21" s="111"/>
      <c r="C21" s="117" t="s">
        <v>165</v>
      </c>
      <c r="D21" s="120">
        <v>1.5</v>
      </c>
      <c r="E21" s="110"/>
      <c r="F21" s="118"/>
      <c r="G21" s="108"/>
      <c r="H21" s="109">
        <f>Grnd_Ops_Fuel_Weight*Fuel_Arm/1000</f>
        <v>0</v>
      </c>
      <c r="I21" s="54"/>
      <c r="J21" s="18"/>
      <c r="K21" s="121"/>
      <c r="L21" s="122"/>
      <c r="M21" s="123" t="s">
        <v>166</v>
      </c>
      <c r="N21" s="124">
        <f>SUM(N15:N20)</f>
        <v>2644.4399999999996</v>
      </c>
      <c r="O21" s="125">
        <f>IF(Total_Arrival_Weight,Total_Arrival_Moment*1000/Total_Arrival_Weight,"")</f>
        <v>43.607266566834582</v>
      </c>
      <c r="P21" s="126">
        <f>SUM(P15:P20)</f>
        <v>115.31680000000001</v>
      </c>
      <c r="Q21" s="30"/>
      <c r="R21" s="18"/>
      <c r="S21" s="18"/>
      <c r="T21" s="18"/>
      <c r="U21" s="18"/>
    </row>
    <row r="22" spans="2:21" ht="12">
      <c r="B22" s="121"/>
      <c r="C22" s="122"/>
      <c r="D22" s="123" t="s">
        <v>166</v>
      </c>
      <c r="E22" s="124">
        <f>SUM(E15:E21)+F16+F17</f>
        <v>2949.24</v>
      </c>
      <c r="F22" s="127"/>
      <c r="G22" s="125">
        <f>IF(Total_Departure_Weight,Total_Departure_Moment*1000/Total_Departure_Weight,"")</f>
        <v>44.052637289606821</v>
      </c>
      <c r="H22" s="126">
        <f>SUM(H15:H21)</f>
        <v>129.92180000000002</v>
      </c>
      <c r="I22" s="54"/>
      <c r="J22" s="18"/>
      <c r="K22" s="128"/>
      <c r="L22" s="129"/>
      <c r="M22" s="130"/>
      <c r="N22" s="130"/>
      <c r="O22" s="131" t="s">
        <v>167</v>
      </c>
      <c r="P22" s="132">
        <f>Total_Arrival_Arm</f>
        <v>43.607266566834582</v>
      </c>
      <c r="Q22" s="30"/>
      <c r="R22" s="18"/>
      <c r="S22" s="18"/>
      <c r="T22" s="18"/>
      <c r="U22" s="18"/>
    </row>
    <row r="23" spans="2:21" ht="12">
      <c r="B23" s="128"/>
      <c r="C23" s="129"/>
      <c r="D23" s="130"/>
      <c r="E23" s="130"/>
      <c r="F23" s="130"/>
      <c r="G23" s="131" t="s">
        <v>167</v>
      </c>
      <c r="H23" s="132">
        <f>Total_Departure_Arm</f>
        <v>44.052637289606821</v>
      </c>
      <c r="I23" s="29"/>
      <c r="J23" s="28"/>
      <c r="K23" s="18"/>
      <c r="L23" s="18"/>
      <c r="M23" s="18"/>
      <c r="N23" s="18"/>
      <c r="O23" s="18"/>
      <c r="P23" s="30"/>
      <c r="Q23" s="18"/>
      <c r="R23" s="18"/>
      <c r="S23" s="18"/>
      <c r="T23" s="18"/>
      <c r="U23" s="18"/>
    </row>
    <row r="24" spans="2:21">
      <c r="B24" s="18"/>
      <c r="C24" s="18"/>
      <c r="D24" s="18"/>
      <c r="E24" s="18"/>
      <c r="F24" s="18"/>
      <c r="G24" s="18"/>
      <c r="H24" s="29"/>
      <c r="I24" s="28"/>
      <c r="J24" s="18"/>
      <c r="K24" s="18"/>
      <c r="L24" s="18"/>
      <c r="M24" s="18"/>
      <c r="N24" s="18"/>
      <c r="O24" s="30"/>
      <c r="P24" s="18"/>
      <c r="Q24" s="18"/>
      <c r="R24" s="18"/>
      <c r="S24" s="18"/>
      <c r="T24" s="18"/>
      <c r="U24" s="18"/>
    </row>
    <row r="25" spans="2:21">
      <c r="B25" s="18"/>
      <c r="C25" s="18"/>
      <c r="D25" s="18"/>
      <c r="E25" s="18"/>
      <c r="F25" s="18"/>
      <c r="G25" s="18"/>
      <c r="H25" s="29"/>
      <c r="I25" s="28"/>
      <c r="J25" s="18"/>
      <c r="K25" s="18"/>
      <c r="L25" s="18"/>
      <c r="M25" s="18"/>
      <c r="N25" s="18"/>
      <c r="O25" s="18"/>
      <c r="P25" s="18"/>
      <c r="Q25" s="18"/>
      <c r="R25" s="18"/>
      <c r="S25" s="18"/>
      <c r="T25" s="18"/>
      <c r="U25" s="133"/>
    </row>
    <row r="26" spans="2:21">
      <c r="B26" s="18"/>
      <c r="C26" s="18"/>
      <c r="D26" s="18"/>
      <c r="E26" s="18"/>
      <c r="F26" s="18"/>
      <c r="G26" s="18"/>
      <c r="H26" s="29"/>
      <c r="I26" s="18"/>
      <c r="J26" s="18"/>
      <c r="K26" s="18"/>
      <c r="L26" s="18"/>
      <c r="M26" s="18"/>
      <c r="N26" s="18"/>
      <c r="O26" s="18"/>
      <c r="P26" s="18"/>
      <c r="Q26" s="18"/>
      <c r="R26" s="18"/>
      <c r="S26" s="18"/>
      <c r="T26" s="18"/>
      <c r="U26" s="133"/>
    </row>
    <row r="27" spans="2:21">
      <c r="B27" s="18"/>
      <c r="C27" s="18"/>
      <c r="D27" s="18"/>
      <c r="E27" s="18"/>
      <c r="F27" s="18"/>
      <c r="G27" s="18"/>
      <c r="H27" s="29"/>
      <c r="I27" s="28"/>
      <c r="J27" s="18"/>
      <c r="K27" s="18"/>
      <c r="L27" s="18"/>
      <c r="M27" s="18"/>
      <c r="N27" s="18"/>
      <c r="O27" s="18"/>
      <c r="P27" s="18"/>
      <c r="Q27" s="18"/>
      <c r="R27" s="18"/>
      <c r="S27" s="18"/>
      <c r="T27" s="18"/>
      <c r="U27" s="133"/>
    </row>
    <row r="28" spans="2:21">
      <c r="B28" s="18"/>
      <c r="C28" s="18"/>
      <c r="D28" s="18"/>
      <c r="E28" s="18"/>
      <c r="F28" s="18"/>
      <c r="G28" s="18"/>
      <c r="H28" s="29"/>
      <c r="I28" s="28"/>
      <c r="J28" s="18"/>
      <c r="K28" s="18"/>
      <c r="L28" s="18"/>
      <c r="M28" s="18"/>
      <c r="N28" s="18"/>
      <c r="O28" s="18"/>
      <c r="P28" s="18"/>
      <c r="Q28" s="18"/>
      <c r="R28" s="18"/>
      <c r="S28" s="18"/>
      <c r="T28" s="18"/>
      <c r="U28" s="133"/>
    </row>
    <row r="29" spans="2:21">
      <c r="B29" s="18"/>
      <c r="C29" s="18"/>
      <c r="D29" s="18"/>
      <c r="E29" s="18"/>
      <c r="F29" s="18"/>
      <c r="G29" s="18"/>
      <c r="H29" s="18"/>
      <c r="I29" s="18"/>
      <c r="J29" s="18"/>
      <c r="K29" s="18"/>
      <c r="L29" s="18"/>
      <c r="M29" s="18"/>
      <c r="N29" s="18"/>
      <c r="O29" s="18"/>
      <c r="P29" s="18"/>
      <c r="Q29" s="18"/>
      <c r="R29" s="18"/>
      <c r="S29" s="18"/>
      <c r="T29" s="18"/>
      <c r="U29" s="133"/>
    </row>
    <row r="30" spans="2:21">
      <c r="B30" s="18"/>
      <c r="C30" s="18"/>
      <c r="D30" s="18"/>
      <c r="E30" s="18"/>
      <c r="F30" s="18"/>
      <c r="G30" s="18"/>
      <c r="H30" s="18"/>
      <c r="I30" s="18"/>
      <c r="J30" s="18"/>
      <c r="K30" s="18"/>
      <c r="L30" s="18"/>
      <c r="M30" s="18"/>
      <c r="N30" s="18"/>
      <c r="O30" s="18"/>
      <c r="P30" s="18"/>
      <c r="Q30" s="18"/>
      <c r="R30" s="18"/>
      <c r="S30" s="18"/>
      <c r="T30" s="18"/>
      <c r="U30" s="133"/>
    </row>
    <row r="31" spans="2:21">
      <c r="B31" s="18"/>
      <c r="C31" s="18"/>
      <c r="D31" s="18"/>
      <c r="E31" s="18"/>
      <c r="F31" s="18"/>
      <c r="G31" s="18"/>
      <c r="H31" s="18"/>
      <c r="I31" s="18"/>
      <c r="J31" s="18"/>
      <c r="K31" s="18"/>
      <c r="L31" s="18"/>
      <c r="M31" s="18"/>
      <c r="N31" s="18"/>
      <c r="O31" s="18"/>
      <c r="P31" s="18"/>
      <c r="Q31" s="18"/>
      <c r="R31" s="18"/>
      <c r="S31" s="18"/>
      <c r="T31" s="18"/>
      <c r="U31" s="133"/>
    </row>
    <row r="32" spans="2:21">
      <c r="B32" s="18"/>
      <c r="C32" s="18"/>
      <c r="D32" s="18"/>
      <c r="E32" s="18"/>
      <c r="F32" s="18"/>
      <c r="G32" s="18"/>
      <c r="H32" s="18"/>
      <c r="I32" s="18"/>
      <c r="J32" s="28"/>
      <c r="K32" s="28"/>
      <c r="L32" s="28"/>
      <c r="M32" s="28"/>
      <c r="N32" s="28"/>
      <c r="O32" s="18"/>
      <c r="P32" s="18"/>
      <c r="Q32" s="18"/>
      <c r="R32" s="18"/>
      <c r="S32" s="18"/>
      <c r="T32" s="18"/>
      <c r="U32" s="133"/>
    </row>
    <row r="33" spans="2:21">
      <c r="B33" s="18"/>
      <c r="C33" s="18"/>
      <c r="D33" s="18"/>
      <c r="E33" s="18"/>
      <c r="F33" s="18"/>
      <c r="G33" s="18"/>
      <c r="H33" s="18"/>
      <c r="I33" s="18"/>
      <c r="J33" s="28"/>
      <c r="K33" s="28"/>
      <c r="L33" s="28"/>
      <c r="M33" s="28"/>
      <c r="N33" s="28"/>
      <c r="O33" s="18"/>
      <c r="P33" s="18"/>
      <c r="Q33" s="18"/>
      <c r="R33" s="18"/>
      <c r="S33" s="18"/>
      <c r="T33" s="18"/>
      <c r="U33" s="133"/>
    </row>
    <row r="34" spans="2:21">
      <c r="B34" s="18"/>
      <c r="C34" s="18"/>
      <c r="D34" s="18"/>
      <c r="E34" s="18"/>
      <c r="F34" s="18"/>
      <c r="G34" s="18"/>
      <c r="H34" s="18"/>
      <c r="I34" s="18"/>
      <c r="J34" s="28"/>
      <c r="K34" s="28"/>
      <c r="L34" s="28"/>
      <c r="M34" s="28"/>
      <c r="N34" s="28"/>
      <c r="O34" s="18"/>
      <c r="P34" s="18"/>
      <c r="Q34" s="18"/>
      <c r="R34" s="18"/>
      <c r="S34" s="18"/>
      <c r="T34" s="18"/>
      <c r="U34" s="18"/>
    </row>
    <row r="35" spans="2:21">
      <c r="B35" s="18"/>
      <c r="C35" s="18"/>
      <c r="D35" s="18"/>
      <c r="E35" s="18"/>
      <c r="F35" s="18"/>
      <c r="G35" s="18"/>
      <c r="H35" s="29"/>
      <c r="I35" s="28"/>
      <c r="J35" s="28"/>
      <c r="K35" s="28"/>
      <c r="L35" s="28"/>
      <c r="M35" s="28"/>
      <c r="N35" s="28"/>
      <c r="O35" s="18"/>
      <c r="P35" s="18"/>
      <c r="Q35" s="133"/>
      <c r="R35" s="18"/>
      <c r="S35" s="18"/>
      <c r="T35" s="18"/>
      <c r="U35" s="18"/>
    </row>
    <row r="36" spans="2:21">
      <c r="B36" s="27"/>
      <c r="C36" s="28"/>
      <c r="D36" s="18"/>
      <c r="E36" s="18"/>
      <c r="F36" s="29"/>
      <c r="G36" s="18"/>
      <c r="H36" s="29"/>
      <c r="I36" s="28"/>
      <c r="J36" s="28"/>
      <c r="K36" s="28"/>
      <c r="L36" s="28"/>
      <c r="M36" s="28"/>
      <c r="N36" s="28"/>
      <c r="O36" s="18"/>
      <c r="P36" s="18"/>
      <c r="Q36" s="133"/>
      <c r="R36" s="18"/>
      <c r="S36" s="18"/>
      <c r="T36" s="18"/>
      <c r="U36" s="18"/>
    </row>
    <row r="37" spans="2:21">
      <c r="B37" s="27"/>
      <c r="C37" s="28"/>
      <c r="D37" s="18"/>
      <c r="E37" s="18"/>
      <c r="F37" s="29"/>
      <c r="G37" s="18"/>
      <c r="H37" s="29"/>
      <c r="I37" s="28"/>
      <c r="J37" s="28"/>
      <c r="K37" s="28"/>
      <c r="L37" s="28"/>
      <c r="M37" s="28"/>
      <c r="N37" s="28"/>
      <c r="O37" s="18"/>
      <c r="P37" s="18"/>
      <c r="Q37" s="18"/>
      <c r="R37" s="18"/>
      <c r="S37" s="18"/>
      <c r="T37" s="18"/>
      <c r="U37" s="18"/>
    </row>
    <row r="38" spans="2:21">
      <c r="B38" s="27"/>
      <c r="C38" s="28"/>
      <c r="D38" s="18"/>
      <c r="E38" s="18"/>
      <c r="F38" s="29"/>
      <c r="G38" s="18"/>
      <c r="H38" s="29"/>
      <c r="I38" s="28"/>
      <c r="J38" s="28"/>
      <c r="K38" s="28"/>
      <c r="L38" s="28"/>
      <c r="M38" s="28"/>
      <c r="N38" s="28"/>
      <c r="O38" s="18"/>
      <c r="P38" s="134"/>
      <c r="Q38" s="133"/>
      <c r="R38" s="18"/>
      <c r="S38" s="18"/>
      <c r="T38" s="18"/>
      <c r="U38" s="18"/>
    </row>
    <row r="39" spans="2:21">
      <c r="B39" s="27"/>
      <c r="C39" s="28"/>
      <c r="D39" s="18"/>
      <c r="E39" s="18"/>
      <c r="F39" s="29"/>
      <c r="G39" s="18"/>
      <c r="H39" s="28"/>
      <c r="I39" s="28"/>
      <c r="J39" s="28"/>
      <c r="K39" s="30"/>
      <c r="L39" s="30"/>
      <c r="M39" s="28"/>
      <c r="N39" s="28"/>
      <c r="O39" s="18"/>
      <c r="P39" s="134"/>
      <c r="Q39" s="133"/>
      <c r="R39" s="18"/>
      <c r="S39" s="18"/>
      <c r="T39" s="18"/>
      <c r="U39" s="18"/>
    </row>
    <row r="40" spans="2:21">
      <c r="B40" s="18"/>
      <c r="C40" s="18"/>
      <c r="D40" s="29"/>
      <c r="E40" s="18"/>
      <c r="F40" s="18"/>
      <c r="G40" s="28"/>
      <c r="H40" s="28"/>
      <c r="I40" s="28"/>
      <c r="J40" s="28"/>
      <c r="K40" s="30"/>
      <c r="L40" s="30"/>
      <c r="M40" s="28"/>
      <c r="N40" s="28"/>
      <c r="O40" s="113"/>
      <c r="P40" s="133"/>
      <c r="Q40" s="133"/>
      <c r="R40" s="18"/>
      <c r="S40" s="18"/>
      <c r="T40" s="18"/>
      <c r="U40" s="18"/>
    </row>
    <row r="41" spans="2:21">
      <c r="B41" s="18"/>
      <c r="C41" s="18"/>
      <c r="D41" s="29"/>
      <c r="E41" s="18"/>
      <c r="F41" s="18"/>
      <c r="G41" s="28"/>
      <c r="H41" s="28"/>
      <c r="I41" s="28"/>
      <c r="J41" s="28"/>
      <c r="K41" s="30"/>
      <c r="L41" s="30"/>
      <c r="M41" s="28"/>
      <c r="N41" s="28"/>
      <c r="O41" s="113"/>
      <c r="P41" s="134"/>
      <c r="Q41" s="134"/>
      <c r="R41" s="133"/>
      <c r="S41" s="113"/>
      <c r="T41" s="134"/>
      <c r="U41" s="18"/>
    </row>
    <row r="42" spans="2:21">
      <c r="B42" s="18"/>
      <c r="C42" s="18"/>
      <c r="D42" s="29"/>
      <c r="E42" s="18"/>
      <c r="F42" s="18"/>
      <c r="G42" s="28"/>
      <c r="H42" s="28"/>
      <c r="I42" s="28"/>
      <c r="J42" s="30"/>
      <c r="K42" s="30"/>
      <c r="L42" s="28"/>
      <c r="M42" s="28"/>
      <c r="N42" s="113"/>
      <c r="O42" s="134"/>
      <c r="P42" s="134"/>
      <c r="Q42" s="28"/>
      <c r="R42" s="28"/>
      <c r="S42" s="113"/>
      <c r="T42" s="134"/>
      <c r="U42" s="133"/>
    </row>
    <row r="43" spans="2:21">
      <c r="B43" s="18"/>
      <c r="C43" s="18"/>
      <c r="D43" s="28"/>
      <c r="E43" s="18"/>
      <c r="F43" s="18"/>
      <c r="G43" s="28"/>
      <c r="H43" s="28"/>
      <c r="I43" s="28"/>
      <c r="J43" s="28"/>
      <c r="K43" s="30"/>
      <c r="L43" s="30"/>
      <c r="M43" s="28"/>
      <c r="N43" s="28"/>
      <c r="O43" s="113"/>
      <c r="P43" s="134"/>
      <c r="Q43" s="28"/>
      <c r="R43" s="28"/>
      <c r="S43" s="113"/>
      <c r="T43" s="134"/>
      <c r="U43" s="133"/>
    </row>
    <row r="44" spans="2:21">
      <c r="B44" s="27"/>
      <c r="C44" s="28"/>
      <c r="D44" s="135"/>
      <c r="E44" s="18"/>
      <c r="F44" s="18"/>
      <c r="G44" s="28"/>
      <c r="H44" s="28"/>
      <c r="I44" s="28"/>
      <c r="J44" s="28"/>
      <c r="K44" s="30"/>
      <c r="L44" s="18" t="s">
        <v>168</v>
      </c>
      <c r="M44" s="28"/>
      <c r="N44" s="28"/>
      <c r="O44" s="113"/>
      <c r="P44" s="113"/>
      <c r="Q44" s="28"/>
      <c r="R44" s="28"/>
      <c r="S44" s="113"/>
      <c r="T44" s="134"/>
      <c r="U44" s="133"/>
    </row>
    <row r="45" spans="2:21" ht="24">
      <c r="B45" s="18"/>
      <c r="C45" s="18"/>
      <c r="D45" s="136" t="s">
        <v>169</v>
      </c>
      <c r="E45" s="136" t="s">
        <v>170</v>
      </c>
      <c r="F45" s="137" t="s">
        <v>171</v>
      </c>
      <c r="G45" s="18"/>
      <c r="H45" s="18"/>
      <c r="I45" s="18"/>
      <c r="J45" s="18"/>
      <c r="K45" s="138" t="s">
        <v>172</v>
      </c>
      <c r="L45" s="139" t="s">
        <v>173</v>
      </c>
      <c r="M45" s="140">
        <v>2500</v>
      </c>
      <c r="N45" s="140">
        <v>5000</v>
      </c>
      <c r="O45" s="140">
        <v>7500</v>
      </c>
      <c r="P45" s="140">
        <v>10000</v>
      </c>
      <c r="Q45" s="18"/>
      <c r="R45" s="28"/>
      <c r="S45" s="113"/>
      <c r="T45" s="134"/>
      <c r="U45" s="133"/>
    </row>
    <row r="46" spans="2:21">
      <c r="B46" s="18"/>
      <c r="C46" s="141" t="s">
        <v>174</v>
      </c>
      <c r="D46" s="141">
        <v>111</v>
      </c>
      <c r="E46" s="142">
        <f>SQRT($E$22/2950)*D46</f>
        <v>110.98570077388882</v>
      </c>
      <c r="F46" s="142">
        <f>SQRT($N$21/2950)*D46</f>
        <v>105.09421961559146</v>
      </c>
      <c r="G46" s="18"/>
      <c r="H46" s="18"/>
      <c r="I46" s="18"/>
      <c r="J46" s="143" t="s">
        <v>175</v>
      </c>
      <c r="K46" s="144">
        <v>57</v>
      </c>
      <c r="L46" s="145">
        <f>SQRT($E$22/2950)*K46</f>
        <v>56.992657154159126</v>
      </c>
      <c r="M46" s="145">
        <f>L46+1.08</f>
        <v>58.072657154159124</v>
      </c>
      <c r="N46" s="145">
        <f>M46+1.08</f>
        <v>59.152657154159122</v>
      </c>
      <c r="O46" s="145">
        <f>N46+1.08</f>
        <v>60.232657154159121</v>
      </c>
      <c r="P46" s="145">
        <f>O46+1.08</f>
        <v>61.312657154159119</v>
      </c>
      <c r="Q46" s="146"/>
      <c r="R46" s="28"/>
      <c r="S46" s="113"/>
      <c r="T46" s="134"/>
      <c r="U46" s="133"/>
    </row>
    <row r="47" spans="2:21">
      <c r="B47" s="18"/>
      <c r="C47" s="141" t="s">
        <v>176</v>
      </c>
      <c r="D47" s="141">
        <v>70</v>
      </c>
      <c r="E47" s="142">
        <f>SQRT($E$22/2950)*D47</f>
        <v>69.990982470019972</v>
      </c>
      <c r="F47" s="142">
        <f>SQRT($N$21/2950)*D47</f>
        <v>66.275633991814431</v>
      </c>
      <c r="G47" s="18"/>
      <c r="H47" s="18"/>
      <c r="I47" s="18"/>
      <c r="J47" s="147" t="s">
        <v>177</v>
      </c>
      <c r="K47" s="148">
        <v>78</v>
      </c>
      <c r="L47" s="149">
        <f>SQRT($E$22/2950)*K47</f>
        <v>77.98995189516512</v>
      </c>
      <c r="M47" s="149">
        <f>L47-1.3</f>
        <v>76.689951895165123</v>
      </c>
      <c r="N47" s="149">
        <f>M47-1.3</f>
        <v>75.389951895165126</v>
      </c>
      <c r="O47" s="149">
        <f>N47-1.3</f>
        <v>74.089951895165129</v>
      </c>
      <c r="P47" s="149">
        <f>O47-1.3</f>
        <v>72.789951895165132</v>
      </c>
      <c r="Q47" s="146"/>
      <c r="R47" s="28"/>
      <c r="S47" s="113"/>
      <c r="T47" s="134"/>
      <c r="U47" s="133"/>
    </row>
    <row r="48" spans="2:21">
      <c r="B48" s="18"/>
      <c r="C48" s="147" t="s">
        <v>178</v>
      </c>
      <c r="D48" s="147">
        <v>45</v>
      </c>
      <c r="E48" s="150">
        <f>SQRT($E$22/2950)*D48</f>
        <v>44.994203016441411</v>
      </c>
      <c r="F48" s="150">
        <f>SQRT($N$21/2950)*D48</f>
        <v>42.60576470902356</v>
      </c>
      <c r="G48" s="18"/>
      <c r="H48" s="18"/>
      <c r="I48" s="18"/>
      <c r="J48" s="18"/>
      <c r="K48" s="18"/>
      <c r="L48" s="18" t="s">
        <v>179</v>
      </c>
      <c r="M48" s="18"/>
      <c r="N48" s="18"/>
      <c r="O48" s="18"/>
      <c r="P48" s="18"/>
      <c r="Q48" s="18"/>
      <c r="R48" s="28"/>
      <c r="S48" s="113"/>
      <c r="T48" s="134"/>
      <c r="U48" s="133"/>
    </row>
    <row r="49" spans="2:21">
      <c r="B49" s="18"/>
      <c r="C49" s="151" t="s">
        <v>180</v>
      </c>
      <c r="D49" s="151">
        <v>48</v>
      </c>
      <c r="E49" s="152">
        <f>SQRT($E$22/2950)*D49</f>
        <v>47.993816550870839</v>
      </c>
      <c r="F49" s="152">
        <f>SQRT($N$21/2950)*D49</f>
        <v>45.446149022958465</v>
      </c>
      <c r="G49" s="18"/>
      <c r="H49" s="18"/>
      <c r="I49" s="18"/>
      <c r="J49" s="143" t="s">
        <v>175</v>
      </c>
      <c r="K49" s="144">
        <v>57</v>
      </c>
      <c r="L49" s="145">
        <f>SQRT($N$21/2950)*K49</f>
        <v>53.96730196476318</v>
      </c>
      <c r="M49" s="145">
        <f>L49+1.08</f>
        <v>55.047301964763179</v>
      </c>
      <c r="N49" s="145">
        <f>M49+1.08</f>
        <v>56.127301964763177</v>
      </c>
      <c r="O49" s="145">
        <f>N49+1.08</f>
        <v>57.207301964763175</v>
      </c>
      <c r="P49" s="145">
        <f>O49+1.08</f>
        <v>58.287301964763174</v>
      </c>
      <c r="Q49" s="146"/>
      <c r="R49" s="28"/>
      <c r="S49" s="113"/>
      <c r="T49" s="134"/>
      <c r="U49" s="133"/>
    </row>
    <row r="50" spans="2:21">
      <c r="B50" s="144"/>
      <c r="C50" s="143" t="s">
        <v>181</v>
      </c>
      <c r="D50" s="153">
        <v>60</v>
      </c>
      <c r="E50" s="153">
        <f>SQRT($E$22/2950)*D50</f>
        <v>59.992270688588555</v>
      </c>
      <c r="F50" s="153">
        <f>SQRT($N$21/2950)*D50</f>
        <v>56.807686278698085</v>
      </c>
      <c r="G50" s="18"/>
      <c r="H50" s="18"/>
      <c r="I50" s="18"/>
      <c r="J50" s="147" t="s">
        <v>177</v>
      </c>
      <c r="K50" s="148">
        <v>78</v>
      </c>
      <c r="L50" s="149">
        <f>SQRT($N$21/2950)*K50</f>
        <v>73.849992162307501</v>
      </c>
      <c r="M50" s="149">
        <f>L50-1.3</f>
        <v>72.549992162307504</v>
      </c>
      <c r="N50" s="149">
        <f>M50-1.3</f>
        <v>71.249992162307507</v>
      </c>
      <c r="O50" s="149">
        <f>N50-1.3</f>
        <v>69.94999216230751</v>
      </c>
      <c r="P50" s="149">
        <f>O50-1.3</f>
        <v>68.649992162307512</v>
      </c>
      <c r="Q50" s="18"/>
      <c r="R50" s="28"/>
      <c r="S50" s="113"/>
      <c r="T50" s="134"/>
      <c r="U50" s="133"/>
    </row>
    <row r="51" spans="2:21">
      <c r="B51" s="18"/>
      <c r="C51" s="18"/>
      <c r="D51" s="18"/>
      <c r="E51" s="18"/>
      <c r="F51" s="18"/>
      <c r="G51" s="18"/>
      <c r="H51" s="18"/>
      <c r="I51" s="18"/>
      <c r="J51" s="18"/>
      <c r="K51" s="18"/>
      <c r="L51" s="28"/>
      <c r="M51" s="28"/>
      <c r="N51" s="28"/>
      <c r="O51" s="30"/>
      <c r="P51" s="30"/>
      <c r="Q51" s="28"/>
      <c r="R51" s="28"/>
      <c r="S51" s="113"/>
      <c r="T51" s="134"/>
      <c r="U51" s="133"/>
    </row>
    <row r="52" spans="2:21">
      <c r="B52" s="27"/>
      <c r="C52" s="28"/>
      <c r="D52" s="18"/>
      <c r="E52" s="18"/>
      <c r="F52" s="29"/>
      <c r="G52" s="18"/>
      <c r="H52" s="29"/>
      <c r="I52" s="28"/>
      <c r="J52" s="28"/>
      <c r="K52" s="28"/>
      <c r="L52" s="28"/>
      <c r="M52" s="28"/>
      <c r="N52" s="133"/>
      <c r="O52" s="30"/>
      <c r="P52" s="30"/>
      <c r="Q52" s="28"/>
      <c r="R52" s="28"/>
      <c r="S52" s="113"/>
      <c r="T52" s="134"/>
      <c r="U52" s="133"/>
    </row>
    <row r="53" spans="2:21">
      <c r="B53" s="27"/>
      <c r="C53" s="28"/>
      <c r="D53" s="18"/>
      <c r="E53" s="18"/>
      <c r="F53" s="29"/>
      <c r="G53" s="18"/>
      <c r="H53" s="29"/>
      <c r="I53" s="28"/>
      <c r="J53" s="28"/>
      <c r="K53" s="28"/>
      <c r="L53" s="28"/>
      <c r="M53" s="28"/>
      <c r="N53" s="28"/>
      <c r="O53" s="30"/>
      <c r="P53" s="30"/>
      <c r="Q53" s="28"/>
      <c r="R53" s="28"/>
      <c r="S53" s="113"/>
      <c r="T53" s="134"/>
      <c r="U53" s="133"/>
    </row>
    <row r="54" spans="2:21">
      <c r="B54" s="27"/>
      <c r="C54" s="28"/>
      <c r="D54" s="18"/>
      <c r="E54" s="18"/>
      <c r="F54" s="29"/>
      <c r="G54" s="18"/>
      <c r="H54" s="29"/>
      <c r="I54" s="28"/>
      <c r="J54" s="28"/>
      <c r="K54" s="28"/>
      <c r="L54" s="28"/>
      <c r="M54" s="28"/>
      <c r="N54" s="28"/>
      <c r="O54" s="30"/>
      <c r="P54" s="30"/>
      <c r="Q54" s="28"/>
      <c r="R54" s="28"/>
      <c r="S54" s="113"/>
      <c r="T54" s="134"/>
      <c r="U54" s="133"/>
    </row>
    <row r="55" spans="2:21">
      <c r="B55" s="27"/>
      <c r="C55" s="28"/>
      <c r="D55" s="18"/>
      <c r="E55" s="18"/>
      <c r="F55" s="29"/>
      <c r="G55" s="18"/>
      <c r="H55" s="29"/>
      <c r="I55" s="28"/>
      <c r="J55" s="28"/>
      <c r="K55" s="28"/>
      <c r="L55" s="28"/>
      <c r="M55" s="28"/>
      <c r="N55" s="28"/>
      <c r="O55" s="30"/>
      <c r="P55" s="30"/>
      <c r="Q55" s="28"/>
      <c r="R55" s="28"/>
      <c r="S55" s="113"/>
      <c r="T55" s="134"/>
      <c r="U55" s="133"/>
    </row>
    <row r="56" spans="2:21">
      <c r="B56" s="27"/>
      <c r="C56" s="28"/>
      <c r="D56" s="18"/>
      <c r="E56" s="18"/>
      <c r="F56" s="29"/>
      <c r="G56" s="18"/>
      <c r="H56" s="29"/>
      <c r="I56" s="28"/>
      <c r="J56" s="28"/>
      <c r="K56" s="28"/>
      <c r="L56" s="28"/>
      <c r="M56" s="28"/>
      <c r="N56" s="28"/>
      <c r="O56" s="30"/>
      <c r="P56" s="30"/>
      <c r="Q56" s="28"/>
      <c r="R56" s="28"/>
      <c r="S56" s="113"/>
      <c r="T56" s="134"/>
      <c r="U56" s="133"/>
    </row>
    <row r="57" spans="2:21">
      <c r="B57" s="27"/>
      <c r="C57" s="28"/>
      <c r="D57" s="18"/>
      <c r="E57" s="18"/>
      <c r="F57" s="29"/>
      <c r="G57" s="18"/>
      <c r="H57" s="29"/>
      <c r="I57" s="28"/>
      <c r="J57" s="28"/>
      <c r="K57" s="28"/>
      <c r="L57" s="28"/>
      <c r="M57" s="28"/>
      <c r="N57" s="28"/>
      <c r="O57" s="30"/>
      <c r="P57" s="30"/>
      <c r="Q57" s="28"/>
      <c r="R57" s="28"/>
      <c r="S57" s="113"/>
      <c r="T57" s="134"/>
      <c r="U57" s="133"/>
    </row>
    <row r="58" spans="2:21">
      <c r="B58" s="27"/>
      <c r="C58" s="28"/>
      <c r="D58" s="18"/>
      <c r="E58" s="18"/>
      <c r="F58" s="29"/>
      <c r="G58" s="18"/>
      <c r="H58" s="29"/>
      <c r="I58" s="28"/>
      <c r="J58" s="28"/>
      <c r="K58" s="28"/>
      <c r="L58" s="28"/>
      <c r="M58" s="28"/>
      <c r="N58" s="28"/>
      <c r="O58" s="30"/>
      <c r="P58" s="30"/>
      <c r="Q58" s="28"/>
      <c r="R58" s="28"/>
      <c r="S58" s="113"/>
      <c r="T58" s="134"/>
      <c r="U58" s="133"/>
    </row>
    <row r="59" spans="2:21">
      <c r="B59" s="27"/>
      <c r="C59" s="28"/>
      <c r="D59" s="18"/>
      <c r="E59" s="18"/>
      <c r="F59" s="29"/>
      <c r="G59" s="18"/>
      <c r="H59" s="29"/>
      <c r="I59" s="28"/>
      <c r="J59" s="28"/>
      <c r="K59" s="28"/>
      <c r="L59" s="28"/>
      <c r="M59" s="28"/>
      <c r="N59" s="28"/>
      <c r="O59" s="30"/>
      <c r="P59" s="30"/>
      <c r="Q59" s="28"/>
      <c r="R59" s="28"/>
      <c r="S59" s="113"/>
      <c r="T59" s="134"/>
      <c r="U59" s="133"/>
    </row>
    <row r="60" spans="2:21">
      <c r="B60" s="27"/>
      <c r="C60" s="28"/>
      <c r="D60" s="18"/>
      <c r="E60" s="18"/>
      <c r="F60" s="29"/>
      <c r="G60" s="18"/>
      <c r="H60" s="29"/>
      <c r="I60" s="28"/>
      <c r="J60" s="28"/>
      <c r="K60" s="28"/>
      <c r="L60" s="28"/>
      <c r="M60" s="28"/>
      <c r="N60" s="28"/>
      <c r="O60" s="30"/>
      <c r="P60" s="30"/>
      <c r="Q60" s="28"/>
      <c r="R60" s="28"/>
      <c r="S60" s="113"/>
      <c r="T60" s="134"/>
      <c r="U60" s="133"/>
    </row>
    <row r="61" spans="2:21">
      <c r="B61" s="27"/>
      <c r="C61" s="28"/>
      <c r="D61" s="18"/>
      <c r="E61" s="18"/>
      <c r="F61" s="29"/>
      <c r="G61" s="18"/>
      <c r="H61" s="29"/>
      <c r="I61" s="28"/>
      <c r="J61" s="28"/>
      <c r="K61" s="28"/>
      <c r="L61" s="28"/>
      <c r="M61" s="28"/>
      <c r="N61" s="28"/>
      <c r="O61" s="30"/>
      <c r="P61" s="30"/>
      <c r="Q61" s="28"/>
      <c r="R61" s="28"/>
      <c r="S61" s="113"/>
      <c r="T61" s="134"/>
      <c r="U61" s="133"/>
    </row>
    <row r="62" spans="2:21">
      <c r="B62" s="27"/>
      <c r="C62" s="28"/>
      <c r="D62" s="18"/>
      <c r="E62" s="18"/>
      <c r="F62" s="29"/>
      <c r="G62" s="18"/>
      <c r="H62" s="29"/>
      <c r="I62" s="28"/>
      <c r="J62" s="28"/>
      <c r="K62" s="28"/>
      <c r="L62" s="28"/>
      <c r="M62" s="28"/>
      <c r="N62" s="28"/>
      <c r="O62" s="30"/>
      <c r="P62" s="30"/>
      <c r="Q62" s="28"/>
      <c r="R62" s="28"/>
      <c r="S62" s="113"/>
      <c r="T62" s="134"/>
      <c r="U62" s="133"/>
    </row>
    <row r="63" spans="2:21">
      <c r="B63" s="27"/>
      <c r="C63" s="28"/>
      <c r="D63" s="18"/>
      <c r="E63" s="18"/>
      <c r="F63" s="29"/>
      <c r="G63" s="18"/>
      <c r="H63" s="29"/>
      <c r="I63" s="28"/>
      <c r="J63" s="28"/>
      <c r="K63" s="28"/>
      <c r="L63" s="28"/>
      <c r="M63" s="28"/>
      <c r="N63" s="28"/>
      <c r="O63" s="30"/>
      <c r="P63" s="30"/>
      <c r="Q63" s="28"/>
      <c r="R63" s="28"/>
      <c r="S63" s="113"/>
      <c r="T63" s="134"/>
      <c r="U63" s="133"/>
    </row>
    <row r="64" spans="2:21">
      <c r="B64" s="27"/>
      <c r="C64" s="28"/>
      <c r="D64" s="18"/>
      <c r="E64" s="18"/>
      <c r="F64" s="29"/>
      <c r="G64" s="18"/>
      <c r="H64" s="29"/>
      <c r="I64" s="28"/>
      <c r="J64" s="28"/>
      <c r="K64" s="28"/>
      <c r="L64" s="28"/>
      <c r="M64" s="28"/>
      <c r="N64" s="28"/>
      <c r="O64" s="30"/>
      <c r="P64" s="30"/>
      <c r="Q64" s="28"/>
      <c r="R64" s="28"/>
      <c r="S64" s="113"/>
      <c r="T64" s="134"/>
      <c r="U64" s="133"/>
    </row>
    <row r="65" spans="2:21">
      <c r="B65" s="27"/>
      <c r="C65" s="28"/>
      <c r="D65" s="18"/>
      <c r="E65" s="18"/>
      <c r="F65" s="29"/>
      <c r="G65" s="18"/>
      <c r="H65" s="29"/>
      <c r="I65" s="28"/>
      <c r="J65" s="28"/>
      <c r="K65" s="28"/>
      <c r="L65" s="28"/>
      <c r="M65" s="28"/>
      <c r="N65" s="28"/>
      <c r="O65" s="30"/>
      <c r="P65" s="30"/>
      <c r="Q65" s="28"/>
      <c r="R65" s="28"/>
      <c r="S65" s="113"/>
      <c r="T65" s="134"/>
      <c r="U65" s="133"/>
    </row>
    <row r="66" spans="2:21">
      <c r="B66" s="27"/>
      <c r="C66" s="28"/>
      <c r="D66" s="18"/>
      <c r="E66" s="18"/>
      <c r="F66" s="29"/>
      <c r="G66" s="18"/>
      <c r="H66" s="29"/>
      <c r="I66" s="28"/>
      <c r="J66" s="28"/>
      <c r="K66" s="28"/>
      <c r="L66" s="28"/>
      <c r="M66" s="28"/>
      <c r="N66" s="28"/>
      <c r="O66" s="30"/>
      <c r="P66" s="30"/>
      <c r="Q66" s="28"/>
      <c r="R66" s="28"/>
      <c r="S66" s="113"/>
      <c r="T66" s="134"/>
      <c r="U66" s="133"/>
    </row>
    <row r="67" spans="2:21">
      <c r="B67" s="27"/>
      <c r="C67" s="28"/>
      <c r="D67" s="18"/>
      <c r="E67" s="18"/>
      <c r="F67" s="29"/>
      <c r="G67" s="18"/>
      <c r="H67" s="29"/>
      <c r="I67" s="28"/>
      <c r="J67" s="28"/>
      <c r="K67" s="28"/>
      <c r="L67" s="28"/>
      <c r="M67" s="28"/>
      <c r="N67" s="28"/>
      <c r="O67" s="30"/>
      <c r="P67" s="30"/>
      <c r="Q67" s="28"/>
      <c r="R67" s="28"/>
      <c r="S67" s="113"/>
      <c r="T67" s="134"/>
      <c r="U67" s="133"/>
    </row>
    <row r="68" spans="2:21">
      <c r="B68" s="27"/>
      <c r="C68" s="28"/>
      <c r="D68" s="18"/>
      <c r="E68" s="18"/>
      <c r="F68" s="29"/>
      <c r="G68" s="18"/>
      <c r="H68" s="29"/>
      <c r="I68" s="28"/>
      <c r="J68" s="28"/>
      <c r="K68" s="28"/>
      <c r="L68" s="28"/>
      <c r="M68" s="28"/>
      <c r="N68" s="28"/>
      <c r="O68" s="30"/>
      <c r="P68" s="30"/>
      <c r="Q68" s="28"/>
      <c r="R68" s="28"/>
      <c r="S68" s="113"/>
      <c r="T68" s="134"/>
      <c r="U68" s="133"/>
    </row>
    <row r="69" spans="2:21">
      <c r="B69" s="27"/>
      <c r="C69" s="28"/>
      <c r="D69" s="18"/>
      <c r="E69" s="18"/>
      <c r="F69" s="29"/>
      <c r="G69" s="18"/>
      <c r="H69" s="29"/>
      <c r="I69" s="28"/>
      <c r="J69" s="28"/>
      <c r="K69" s="28"/>
      <c r="L69" s="28"/>
      <c r="M69" s="28"/>
      <c r="N69" s="28"/>
      <c r="O69" s="30"/>
      <c r="P69" s="30"/>
      <c r="Q69" s="28"/>
      <c r="R69" s="28"/>
      <c r="S69" s="113"/>
      <c r="T69" s="134"/>
      <c r="U69" s="133"/>
    </row>
    <row r="70" spans="2:21">
      <c r="B70" s="27"/>
      <c r="C70" s="28"/>
      <c r="D70" s="18"/>
      <c r="E70" s="18"/>
      <c r="F70" s="29"/>
      <c r="G70" s="18"/>
      <c r="H70" s="29"/>
      <c r="I70" s="28"/>
      <c r="J70" s="28"/>
      <c r="K70" s="28"/>
      <c r="L70" s="28"/>
      <c r="M70" s="28"/>
      <c r="N70" s="28"/>
      <c r="O70" s="30"/>
      <c r="P70" s="30"/>
      <c r="Q70" s="28"/>
      <c r="R70" s="28"/>
      <c r="S70" s="113"/>
      <c r="T70" s="134"/>
      <c r="U70" s="133"/>
    </row>
    <row r="71" spans="2:21">
      <c r="B71" s="27"/>
      <c r="C71" s="28"/>
      <c r="D71" s="18"/>
      <c r="E71" s="18"/>
      <c r="F71" s="29"/>
      <c r="G71" s="18"/>
      <c r="H71" s="29"/>
      <c r="I71" s="28"/>
      <c r="J71" s="28"/>
      <c r="K71" s="28"/>
      <c r="L71" s="28"/>
      <c r="M71" s="28"/>
      <c r="N71" s="28"/>
      <c r="O71" s="30"/>
      <c r="P71" s="30"/>
      <c r="Q71" s="28"/>
      <c r="R71" s="28"/>
      <c r="S71" s="113"/>
      <c r="T71" s="134"/>
      <c r="U71" s="133"/>
    </row>
    <row r="72" spans="2:21">
      <c r="B72" s="27"/>
      <c r="C72" s="28"/>
      <c r="D72" s="18"/>
      <c r="E72" s="18"/>
      <c r="F72" s="29"/>
      <c r="G72" s="18"/>
      <c r="H72" s="29"/>
      <c r="I72" s="28"/>
      <c r="J72" s="28"/>
      <c r="K72" s="28"/>
      <c r="L72" s="28"/>
      <c r="M72" s="28"/>
      <c r="N72" s="28"/>
      <c r="O72" s="30"/>
      <c r="P72" s="30"/>
      <c r="Q72" s="28"/>
      <c r="R72" s="28"/>
      <c r="S72" s="113"/>
      <c r="T72" s="134"/>
      <c r="U72" s="133"/>
    </row>
    <row r="73" spans="2:21">
      <c r="B73" s="27"/>
      <c r="C73" s="28"/>
      <c r="D73" s="18"/>
      <c r="E73" s="18"/>
      <c r="F73" s="29"/>
      <c r="G73" s="18"/>
      <c r="H73" s="29"/>
      <c r="I73" s="28"/>
      <c r="J73" s="28"/>
      <c r="K73" s="28"/>
      <c r="L73" s="28"/>
      <c r="M73" s="28"/>
      <c r="N73" s="28"/>
      <c r="O73" s="30"/>
      <c r="P73" s="30"/>
      <c r="Q73" s="28"/>
      <c r="R73" s="28"/>
      <c r="S73" s="113"/>
      <c r="T73" s="134"/>
      <c r="U73" s="133"/>
    </row>
    <row r="74" spans="2:21">
      <c r="B74" s="27"/>
      <c r="C74" s="28"/>
      <c r="D74" s="18"/>
      <c r="E74" s="18"/>
      <c r="F74" s="29"/>
      <c r="G74" s="18"/>
      <c r="H74" s="29"/>
      <c r="I74" s="28"/>
      <c r="J74" s="28"/>
      <c r="K74" s="28"/>
      <c r="L74" s="28"/>
      <c r="M74" s="28"/>
      <c r="N74" s="28"/>
      <c r="O74" s="30"/>
      <c r="P74" s="30"/>
      <c r="Q74" s="28"/>
      <c r="R74" s="28"/>
      <c r="S74" s="113"/>
      <c r="T74" s="134"/>
      <c r="U74" s="133"/>
    </row>
    <row r="75" spans="2:21">
      <c r="B75" s="27"/>
      <c r="C75" s="28"/>
      <c r="D75" s="18"/>
      <c r="E75" s="18"/>
      <c r="F75" s="29"/>
      <c r="G75" s="18"/>
      <c r="H75" s="29"/>
      <c r="I75" s="28"/>
      <c r="J75" s="28"/>
      <c r="K75" s="28"/>
      <c r="L75" s="28"/>
      <c r="M75" s="28"/>
      <c r="N75" s="28"/>
      <c r="O75" s="30"/>
      <c r="P75" s="30"/>
      <c r="Q75" s="28"/>
      <c r="R75" s="28"/>
      <c r="S75" s="113"/>
      <c r="T75" s="134"/>
      <c r="U75" s="133"/>
    </row>
    <row r="76" spans="2:21">
      <c r="B76" s="27"/>
      <c r="C76" s="28"/>
      <c r="D76" s="18"/>
      <c r="E76" s="18"/>
      <c r="F76" s="29"/>
      <c r="G76" s="18"/>
      <c r="H76" s="29"/>
      <c r="I76" s="28"/>
      <c r="J76" s="28"/>
      <c r="K76" s="28"/>
      <c r="L76" s="28"/>
      <c r="M76" s="28"/>
      <c r="N76" s="28"/>
      <c r="O76" s="30"/>
      <c r="P76" s="30"/>
      <c r="Q76" s="28"/>
      <c r="R76" s="28"/>
      <c r="S76" s="113"/>
      <c r="T76" s="134"/>
      <c r="U76" s="133"/>
    </row>
    <row r="77" spans="2:21">
      <c r="B77" s="27"/>
      <c r="C77" s="28"/>
      <c r="D77" s="18"/>
      <c r="E77" s="18"/>
      <c r="F77" s="29"/>
      <c r="G77" s="18"/>
      <c r="H77" s="29"/>
      <c r="I77" s="28"/>
      <c r="J77" s="28"/>
      <c r="K77" s="28"/>
      <c r="L77" s="28"/>
      <c r="M77" s="28"/>
      <c r="N77" s="28"/>
      <c r="O77" s="30"/>
      <c r="P77" s="30"/>
      <c r="Q77" s="28"/>
      <c r="R77" s="28"/>
      <c r="S77" s="113"/>
      <c r="T77" s="134"/>
      <c r="U77" s="133"/>
    </row>
    <row r="78" spans="2:21">
      <c r="B78" s="27"/>
      <c r="C78" s="28"/>
      <c r="D78" s="18"/>
      <c r="E78" s="18"/>
      <c r="F78" s="29"/>
      <c r="G78" s="18"/>
      <c r="H78" s="29"/>
      <c r="I78" s="28"/>
      <c r="J78" s="28"/>
      <c r="K78" s="28"/>
      <c r="L78" s="28"/>
      <c r="M78" s="28"/>
      <c r="N78" s="28"/>
      <c r="O78" s="30"/>
      <c r="P78" s="30"/>
      <c r="Q78" s="28"/>
      <c r="R78" s="28"/>
      <c r="S78" s="113"/>
      <c r="T78" s="134"/>
      <c r="U78" s="133"/>
    </row>
    <row r="79" spans="2:21">
      <c r="B79" s="27"/>
      <c r="C79" s="28"/>
      <c r="D79" s="18"/>
      <c r="E79" s="18"/>
      <c r="F79" s="29"/>
      <c r="G79" s="18"/>
      <c r="H79" s="29"/>
      <c r="I79" s="28"/>
      <c r="J79" s="28"/>
      <c r="K79" s="28"/>
      <c r="L79" s="28"/>
      <c r="M79" s="28"/>
      <c r="N79" s="28"/>
      <c r="O79" s="30"/>
      <c r="P79" s="30"/>
      <c r="Q79" s="28"/>
      <c r="R79" s="28"/>
      <c r="S79" s="113"/>
      <c r="T79" s="134"/>
      <c r="U79" s="133"/>
    </row>
    <row r="80" spans="2:21">
      <c r="B80" s="27"/>
      <c r="C80" s="28"/>
      <c r="D80" s="18"/>
      <c r="E80" s="18"/>
      <c r="F80" s="29"/>
      <c r="G80" s="18"/>
      <c r="H80" s="29"/>
      <c r="I80" s="28"/>
      <c r="J80" s="28"/>
      <c r="K80" s="28"/>
      <c r="L80" s="28"/>
      <c r="M80" s="28"/>
      <c r="N80" s="28"/>
      <c r="O80" s="30"/>
      <c r="P80" s="30"/>
      <c r="Q80" s="28"/>
      <c r="R80" s="28"/>
      <c r="S80" s="113"/>
      <c r="T80" s="134"/>
      <c r="U80" s="133"/>
    </row>
    <row r="81" spans="2:21">
      <c r="B81" s="27"/>
      <c r="C81" s="28"/>
      <c r="D81" s="18"/>
      <c r="E81" s="18"/>
      <c r="F81" s="29"/>
      <c r="G81" s="18"/>
      <c r="H81" s="29"/>
      <c r="I81" s="28"/>
      <c r="J81" s="28"/>
      <c r="K81" s="28"/>
      <c r="L81" s="28"/>
      <c r="M81" s="28"/>
      <c r="N81" s="28"/>
      <c r="O81" s="30"/>
      <c r="P81" s="30"/>
      <c r="Q81" s="28"/>
      <c r="R81" s="28"/>
      <c r="S81" s="113"/>
      <c r="T81" s="134"/>
      <c r="U81" s="133"/>
    </row>
    <row r="82" spans="2:21">
      <c r="B82" s="27"/>
      <c r="C82" s="28"/>
      <c r="D82" s="18"/>
      <c r="E82" s="18"/>
      <c r="F82" s="29"/>
      <c r="G82" s="18"/>
      <c r="H82" s="29"/>
      <c r="I82" s="28"/>
      <c r="J82" s="28"/>
      <c r="K82" s="28"/>
      <c r="L82" s="28"/>
      <c r="M82" s="28"/>
      <c r="N82" s="28"/>
      <c r="O82" s="30"/>
      <c r="P82" s="30"/>
      <c r="Q82" s="28"/>
      <c r="R82" s="28"/>
      <c r="S82" s="113"/>
      <c r="T82" s="134"/>
      <c r="U82" s="133"/>
    </row>
    <row r="83" spans="2:21">
      <c r="B83" s="27"/>
      <c r="C83" s="28"/>
      <c r="D83" s="18"/>
      <c r="E83" s="18"/>
      <c r="F83" s="29"/>
      <c r="G83" s="18"/>
      <c r="H83" s="29"/>
      <c r="I83" s="28"/>
      <c r="J83" s="28"/>
      <c r="K83" s="28"/>
      <c r="L83" s="28"/>
      <c r="M83" s="28"/>
      <c r="N83" s="28"/>
      <c r="O83" s="30"/>
      <c r="P83" s="30"/>
      <c r="Q83" s="28"/>
      <c r="R83" s="28"/>
      <c r="S83" s="113"/>
      <c r="T83" s="134"/>
      <c r="U83" s="133"/>
    </row>
    <row r="84" spans="2:21">
      <c r="B84" s="27"/>
      <c r="C84" s="28"/>
      <c r="D84" s="18"/>
      <c r="E84" s="18"/>
      <c r="F84" s="29"/>
      <c r="G84" s="18"/>
      <c r="H84" s="29"/>
      <c r="I84" s="28"/>
      <c r="J84" s="28"/>
      <c r="K84" s="28"/>
      <c r="L84" s="28"/>
      <c r="M84" s="28"/>
      <c r="N84" s="28"/>
      <c r="O84" s="30"/>
      <c r="P84" s="30"/>
      <c r="Q84" s="28"/>
      <c r="R84" s="28"/>
      <c r="S84" s="113"/>
      <c r="T84" s="134"/>
      <c r="U84" s="133"/>
    </row>
    <row r="85" spans="2:21">
      <c r="B85" s="27"/>
      <c r="C85" s="28"/>
      <c r="D85" s="18"/>
      <c r="E85" s="18"/>
      <c r="F85" s="29"/>
      <c r="G85" s="18"/>
      <c r="H85" s="29"/>
      <c r="I85" s="28"/>
      <c r="J85" s="28"/>
      <c r="K85" s="28"/>
      <c r="L85" s="28"/>
      <c r="M85" s="28"/>
      <c r="N85" s="28"/>
      <c r="O85" s="30"/>
      <c r="P85" s="30"/>
      <c r="Q85" s="28"/>
      <c r="R85" s="28"/>
      <c r="S85" s="113"/>
      <c r="T85" s="134"/>
      <c r="U85" s="133"/>
    </row>
    <row r="86" spans="2:21">
      <c r="B86" s="27"/>
      <c r="C86" s="28"/>
      <c r="D86" s="18"/>
      <c r="E86" s="18"/>
      <c r="F86" s="29"/>
      <c r="G86" s="18"/>
      <c r="H86" s="29"/>
      <c r="I86" s="28"/>
      <c r="J86" s="28"/>
      <c r="K86" s="28"/>
      <c r="L86" s="28"/>
      <c r="M86" s="28"/>
      <c r="N86" s="28"/>
      <c r="O86" s="30"/>
      <c r="P86" s="30"/>
      <c r="Q86" s="28"/>
      <c r="R86" s="28"/>
      <c r="S86" s="113"/>
      <c r="T86" s="134"/>
      <c r="U86" s="133"/>
    </row>
    <row r="87" spans="2:21">
      <c r="B87" s="27"/>
      <c r="C87" s="28"/>
      <c r="D87" s="18"/>
      <c r="E87" s="18"/>
      <c r="F87" s="29"/>
      <c r="G87" s="18"/>
      <c r="H87" s="29"/>
      <c r="I87" s="28"/>
      <c r="J87" s="28"/>
      <c r="K87" s="28"/>
      <c r="L87" s="28"/>
      <c r="M87" s="28"/>
      <c r="N87" s="28"/>
      <c r="O87" s="30"/>
      <c r="P87" s="30"/>
      <c r="Q87" s="28"/>
      <c r="R87" s="28"/>
      <c r="S87" s="113"/>
      <c r="T87" s="134"/>
      <c r="U87" s="133"/>
    </row>
    <row r="88" spans="2:21">
      <c r="B88" s="27"/>
      <c r="C88" s="28"/>
      <c r="D88" s="18"/>
      <c r="E88" s="18"/>
      <c r="F88" s="29"/>
      <c r="G88" s="18"/>
      <c r="H88" s="29"/>
      <c r="I88" s="28"/>
      <c r="J88" s="28"/>
      <c r="K88" s="28"/>
      <c r="L88" s="28"/>
      <c r="M88" s="28"/>
      <c r="N88" s="28"/>
      <c r="O88" s="30"/>
      <c r="P88" s="30"/>
      <c r="Q88" s="28"/>
      <c r="R88" s="28"/>
      <c r="S88" s="113"/>
      <c r="T88" s="134"/>
      <c r="U88" s="133"/>
    </row>
    <row r="89" spans="2:21">
      <c r="B89" s="27"/>
      <c r="C89" s="28"/>
      <c r="D89" s="18"/>
      <c r="E89" s="18"/>
      <c r="F89" s="29"/>
      <c r="G89" s="18"/>
      <c r="H89" s="29"/>
      <c r="I89" s="28"/>
      <c r="J89" s="28"/>
      <c r="K89" s="28"/>
      <c r="L89" s="28"/>
      <c r="M89" s="28"/>
      <c r="N89" s="28"/>
      <c r="O89" s="30"/>
      <c r="P89" s="30"/>
      <c r="Q89" s="28"/>
      <c r="R89" s="28"/>
      <c r="S89" s="113"/>
      <c r="T89" s="134"/>
      <c r="U89" s="133"/>
    </row>
    <row r="90" spans="2:21">
      <c r="B90" s="27"/>
      <c r="C90" s="28"/>
      <c r="D90" s="18"/>
      <c r="E90" s="18"/>
      <c r="F90" s="29"/>
      <c r="G90" s="18"/>
      <c r="H90" s="29"/>
      <c r="I90" s="28"/>
      <c r="J90" s="28"/>
      <c r="K90" s="28"/>
      <c r="L90" s="28"/>
      <c r="M90" s="28"/>
      <c r="N90" s="28"/>
      <c r="O90" s="30"/>
      <c r="P90" s="30"/>
      <c r="Q90" s="28"/>
      <c r="R90" s="28"/>
      <c r="S90" s="113"/>
      <c r="T90" s="134"/>
      <c r="U90" s="133"/>
    </row>
    <row r="91" spans="2:21">
      <c r="B91" s="27"/>
      <c r="C91" s="28"/>
      <c r="D91" s="18"/>
      <c r="E91" s="18"/>
      <c r="F91" s="29"/>
      <c r="G91" s="18"/>
      <c r="H91" s="29"/>
      <c r="I91" s="28"/>
      <c r="J91" s="28"/>
      <c r="K91" s="28"/>
      <c r="L91" s="28"/>
      <c r="M91" s="28"/>
      <c r="N91" s="28"/>
      <c r="O91" s="30"/>
      <c r="P91" s="30"/>
      <c r="Q91" s="28"/>
      <c r="R91" s="28"/>
      <c r="S91" s="113"/>
      <c r="T91" s="134"/>
      <c r="U91" s="133"/>
    </row>
    <row r="92" spans="2:21">
      <c r="B92" s="27"/>
      <c r="C92" s="28"/>
      <c r="D92" s="18"/>
      <c r="E92" s="18"/>
      <c r="F92" s="29"/>
      <c r="G92" s="18"/>
      <c r="H92" s="29"/>
      <c r="I92" s="28"/>
      <c r="J92" s="28"/>
      <c r="K92" s="28"/>
      <c r="L92" s="28"/>
      <c r="M92" s="28"/>
      <c r="N92" s="28"/>
      <c r="O92" s="30"/>
      <c r="P92" s="30"/>
      <c r="Q92" s="28"/>
      <c r="R92" s="28"/>
      <c r="S92" s="113"/>
      <c r="T92" s="134"/>
      <c r="U92" s="133"/>
    </row>
    <row r="93" spans="2:21">
      <c r="B93" s="27"/>
      <c r="C93" s="28"/>
      <c r="D93" s="18"/>
      <c r="E93" s="18"/>
      <c r="F93" s="29"/>
      <c r="G93" s="18"/>
      <c r="H93" s="29"/>
      <c r="I93" s="28"/>
      <c r="J93" s="28"/>
      <c r="K93" s="28"/>
      <c r="L93" s="28"/>
      <c r="M93" s="28"/>
      <c r="N93" s="28"/>
      <c r="O93" s="30"/>
      <c r="P93" s="30"/>
      <c r="Q93" s="28"/>
      <c r="R93" s="28"/>
      <c r="S93" s="113"/>
      <c r="T93" s="134"/>
      <c r="U93" s="133"/>
    </row>
    <row r="94" spans="2:21">
      <c r="B94" s="27"/>
      <c r="C94" s="28"/>
      <c r="D94" s="18"/>
      <c r="E94" s="18"/>
      <c r="F94" s="29"/>
      <c r="G94" s="18"/>
      <c r="H94" s="29"/>
      <c r="I94" s="28"/>
      <c r="J94" s="28"/>
      <c r="K94" s="28"/>
      <c r="L94" s="28"/>
      <c r="M94" s="28"/>
      <c r="N94" s="28"/>
      <c r="O94" s="30"/>
      <c r="P94" s="30"/>
      <c r="Q94" s="28"/>
      <c r="R94" s="28"/>
      <c r="S94" s="113"/>
      <c r="T94" s="134"/>
      <c r="U94" s="133"/>
    </row>
    <row r="95" spans="2:21">
      <c r="B95" s="27"/>
      <c r="C95" s="28"/>
      <c r="D95" s="18"/>
      <c r="E95" s="18"/>
      <c r="F95" s="29"/>
      <c r="G95" s="18"/>
      <c r="H95" s="29"/>
      <c r="I95" s="28"/>
      <c r="J95" s="28"/>
      <c r="K95" s="28"/>
      <c r="L95" s="28"/>
      <c r="M95" s="28"/>
      <c r="N95" s="28"/>
      <c r="O95" s="30"/>
      <c r="P95" s="30"/>
      <c r="Q95" s="28"/>
      <c r="R95" s="28"/>
      <c r="S95" s="113"/>
      <c r="T95" s="134"/>
      <c r="U95" s="133"/>
    </row>
    <row r="96" spans="2:21">
      <c r="B96" s="27"/>
      <c r="C96" s="28"/>
      <c r="D96" s="18"/>
      <c r="E96" s="18"/>
      <c r="F96" s="29"/>
      <c r="G96" s="18"/>
      <c r="H96" s="29"/>
      <c r="I96" s="28"/>
      <c r="J96" s="28"/>
      <c r="K96" s="28"/>
      <c r="L96" s="28"/>
      <c r="M96" s="28"/>
      <c r="N96" s="28"/>
      <c r="O96" s="30"/>
      <c r="P96" s="30"/>
      <c r="Q96" s="28"/>
      <c r="R96" s="28"/>
      <c r="S96" s="113"/>
      <c r="T96" s="134"/>
      <c r="U96" s="133"/>
    </row>
    <row r="97" spans="2:21">
      <c r="B97" s="27"/>
      <c r="C97" s="28"/>
      <c r="D97" s="18"/>
      <c r="E97" s="18"/>
      <c r="F97" s="29"/>
      <c r="G97" s="18"/>
      <c r="H97" s="29"/>
      <c r="I97" s="28"/>
      <c r="J97" s="28"/>
      <c r="K97" s="28"/>
      <c r="L97" s="28"/>
      <c r="M97" s="28"/>
      <c r="N97" s="28"/>
      <c r="O97" s="30"/>
      <c r="P97" s="30"/>
      <c r="Q97" s="28"/>
      <c r="R97" s="28"/>
      <c r="S97" s="113"/>
      <c r="T97" s="134"/>
      <c r="U97" s="133"/>
    </row>
    <row r="98" spans="2:21">
      <c r="B98" s="27"/>
      <c r="C98" s="28"/>
      <c r="D98" s="18"/>
      <c r="E98" s="18"/>
      <c r="F98" s="29"/>
      <c r="G98" s="18"/>
      <c r="H98" s="29"/>
      <c r="I98" s="28"/>
      <c r="J98" s="28"/>
      <c r="K98" s="28"/>
      <c r="L98" s="28"/>
      <c r="M98" s="28"/>
      <c r="N98" s="28"/>
      <c r="O98" s="30"/>
      <c r="P98" s="30"/>
      <c r="Q98" s="28"/>
      <c r="R98" s="28"/>
      <c r="S98" s="113"/>
      <c r="T98" s="134"/>
      <c r="U98" s="133"/>
    </row>
    <row r="99" spans="2:21">
      <c r="B99" s="27"/>
      <c r="C99" s="28"/>
      <c r="D99" s="18"/>
      <c r="E99" s="18"/>
      <c r="F99" s="29"/>
      <c r="G99" s="18"/>
      <c r="H99" s="29"/>
      <c r="I99" s="28"/>
      <c r="J99" s="28"/>
      <c r="K99" s="28"/>
      <c r="L99" s="28"/>
      <c r="M99" s="28"/>
      <c r="N99" s="28"/>
      <c r="O99" s="30"/>
      <c r="P99" s="30"/>
      <c r="Q99" s="28"/>
      <c r="R99" s="28"/>
      <c r="S99" s="113"/>
      <c r="T99" s="134"/>
      <c r="U99" s="133"/>
    </row>
    <row r="100" spans="2:21">
      <c r="B100" s="27"/>
      <c r="C100" s="28"/>
      <c r="D100" s="18"/>
      <c r="E100" s="18"/>
      <c r="F100" s="29"/>
      <c r="G100" s="18"/>
      <c r="H100" s="29"/>
      <c r="I100" s="28"/>
      <c r="J100" s="28"/>
      <c r="K100" s="28"/>
      <c r="L100" s="28"/>
      <c r="M100" s="28"/>
      <c r="N100" s="28"/>
      <c r="O100" s="30"/>
      <c r="P100" s="30"/>
      <c r="Q100" s="28"/>
      <c r="R100" s="28"/>
      <c r="S100" s="113"/>
      <c r="T100" s="134"/>
      <c r="U100" s="133"/>
    </row>
    <row r="101" spans="2:21">
      <c r="B101" s="27"/>
      <c r="C101" s="28"/>
      <c r="D101" s="18"/>
      <c r="E101" s="18"/>
      <c r="F101" s="29"/>
      <c r="G101" s="18"/>
      <c r="H101" s="29"/>
      <c r="I101" s="28"/>
      <c r="J101" s="28"/>
      <c r="K101" s="28"/>
      <c r="L101" s="28"/>
      <c r="M101" s="28"/>
      <c r="N101" s="28"/>
      <c r="O101" s="30"/>
      <c r="P101" s="30"/>
      <c r="Q101" s="28"/>
      <c r="R101" s="28"/>
      <c r="S101" s="113"/>
      <c r="T101" s="134"/>
      <c r="U101" s="133"/>
    </row>
    <row r="102" spans="2:21">
      <c r="B102" s="27"/>
      <c r="C102" s="28"/>
      <c r="D102" s="18"/>
      <c r="E102" s="18"/>
      <c r="F102" s="29"/>
      <c r="G102" s="18"/>
      <c r="H102" s="29"/>
      <c r="I102" s="28"/>
      <c r="J102" s="28"/>
      <c r="K102" s="28"/>
      <c r="L102" s="28"/>
      <c r="M102" s="28"/>
      <c r="N102" s="28"/>
      <c r="O102" s="30"/>
      <c r="P102" s="30"/>
      <c r="Q102" s="28"/>
      <c r="R102" s="28"/>
      <c r="S102" s="113"/>
      <c r="T102" s="134"/>
      <c r="U102" s="133"/>
    </row>
    <row r="103" spans="2:21">
      <c r="B103" s="27"/>
      <c r="C103" s="28"/>
      <c r="D103" s="18"/>
      <c r="E103" s="18"/>
      <c r="F103" s="29"/>
      <c r="G103" s="18"/>
      <c r="H103" s="29"/>
      <c r="I103" s="28"/>
      <c r="J103" s="28"/>
      <c r="K103" s="28"/>
      <c r="L103" s="28"/>
      <c r="M103" s="28"/>
      <c r="N103" s="28"/>
      <c r="O103" s="30"/>
      <c r="P103" s="30"/>
      <c r="Q103" s="28"/>
      <c r="R103" s="28"/>
      <c r="S103" s="113"/>
      <c r="T103" s="134"/>
      <c r="U103" s="133"/>
    </row>
    <row r="104" spans="2:21">
      <c r="B104" s="27"/>
      <c r="C104" s="28"/>
      <c r="D104" s="18"/>
      <c r="E104" s="18"/>
      <c r="F104" s="29"/>
      <c r="G104" s="18"/>
      <c r="H104" s="29"/>
      <c r="I104" s="28"/>
      <c r="J104" s="28"/>
      <c r="K104" s="28"/>
      <c r="L104" s="28"/>
      <c r="M104" s="28"/>
      <c r="N104" s="28"/>
      <c r="O104" s="30"/>
      <c r="P104" s="30"/>
      <c r="Q104" s="28"/>
      <c r="R104" s="28"/>
      <c r="S104" s="113"/>
      <c r="T104" s="134"/>
      <c r="U104" s="133"/>
    </row>
    <row r="105" spans="2:21">
      <c r="B105" s="27"/>
      <c r="C105" s="28"/>
      <c r="D105" s="18"/>
      <c r="E105" s="18"/>
      <c r="F105" s="29"/>
      <c r="G105" s="18"/>
      <c r="H105" s="29"/>
      <c r="I105" s="28"/>
      <c r="J105" s="28"/>
      <c r="K105" s="28"/>
      <c r="L105" s="28"/>
      <c r="M105" s="28"/>
      <c r="N105" s="28"/>
      <c r="O105" s="30"/>
      <c r="P105" s="30"/>
      <c r="Q105" s="28"/>
      <c r="R105" s="28"/>
      <c r="S105" s="113"/>
      <c r="T105" s="134"/>
      <c r="U105" s="133"/>
    </row>
    <row r="106" spans="2:21">
      <c r="B106" s="27"/>
      <c r="C106" s="28"/>
      <c r="D106" s="18"/>
      <c r="E106" s="18"/>
      <c r="F106" s="29"/>
      <c r="G106" s="18"/>
      <c r="H106" s="29"/>
      <c r="I106" s="28"/>
      <c r="J106" s="28"/>
      <c r="K106" s="28"/>
      <c r="L106" s="28"/>
      <c r="M106" s="28"/>
      <c r="N106" s="28"/>
      <c r="O106" s="30"/>
      <c r="P106" s="30"/>
      <c r="Q106" s="28"/>
      <c r="R106" s="28"/>
      <c r="S106" s="113"/>
      <c r="T106" s="134"/>
      <c r="U106" s="133"/>
    </row>
    <row r="107" spans="2:21">
      <c r="B107" s="27"/>
      <c r="C107" s="28"/>
      <c r="D107" s="18"/>
      <c r="E107" s="18"/>
      <c r="F107" s="29"/>
      <c r="G107" s="18"/>
      <c r="H107" s="29"/>
      <c r="I107" s="28"/>
      <c r="J107" s="28"/>
      <c r="K107" s="28"/>
      <c r="L107" s="28"/>
      <c r="M107" s="28"/>
      <c r="N107" s="28"/>
      <c r="O107" s="30"/>
      <c r="P107" s="30"/>
      <c r="Q107" s="28"/>
      <c r="R107" s="28"/>
      <c r="S107" s="113"/>
      <c r="T107" s="134"/>
      <c r="U107" s="133"/>
    </row>
    <row r="108" spans="2:21">
      <c r="B108" s="27"/>
      <c r="C108" s="28"/>
      <c r="D108" s="18"/>
      <c r="E108" s="18"/>
      <c r="F108" s="29"/>
      <c r="G108" s="18"/>
      <c r="H108" s="29"/>
      <c r="I108" s="28"/>
      <c r="J108" s="28"/>
      <c r="K108" s="28"/>
      <c r="L108" s="28"/>
      <c r="M108" s="28"/>
      <c r="N108" s="28"/>
      <c r="O108" s="30"/>
      <c r="P108" s="30"/>
      <c r="Q108" s="28"/>
      <c r="R108" s="28"/>
      <c r="S108" s="113"/>
      <c r="T108" s="134"/>
      <c r="U108" s="133"/>
    </row>
    <row r="109" spans="2:21">
      <c r="B109" s="27"/>
      <c r="C109" s="28"/>
      <c r="D109" s="18"/>
      <c r="E109" s="18"/>
      <c r="F109" s="29"/>
      <c r="G109" s="18"/>
      <c r="H109" s="29"/>
      <c r="I109" s="28"/>
      <c r="J109" s="28"/>
      <c r="K109" s="28"/>
      <c r="L109" s="28"/>
      <c r="M109" s="28"/>
      <c r="N109" s="28"/>
      <c r="O109" s="30"/>
      <c r="P109" s="30"/>
      <c r="Q109" s="28"/>
      <c r="R109" s="28"/>
      <c r="S109" s="113"/>
      <c r="T109" s="134"/>
      <c r="U109" s="133"/>
    </row>
    <row r="110" spans="2:21">
      <c r="B110" s="27"/>
      <c r="C110" s="28"/>
      <c r="D110" s="18"/>
      <c r="E110" s="18"/>
      <c r="F110" s="29"/>
      <c r="G110" s="18"/>
      <c r="H110" s="29"/>
      <c r="I110" s="28"/>
      <c r="J110" s="28"/>
      <c r="K110" s="28"/>
      <c r="L110" s="28"/>
      <c r="M110" s="28"/>
      <c r="N110" s="28"/>
      <c r="O110" s="30"/>
      <c r="P110" s="30"/>
      <c r="Q110" s="28"/>
      <c r="R110" s="28"/>
      <c r="S110" s="113"/>
      <c r="T110" s="134"/>
      <c r="U110" s="133"/>
    </row>
    <row r="111" spans="2:21">
      <c r="B111" s="27"/>
      <c r="C111" s="28"/>
      <c r="D111" s="18"/>
      <c r="E111" s="18"/>
      <c r="F111" s="29"/>
      <c r="G111" s="18"/>
      <c r="H111" s="29"/>
      <c r="I111" s="28"/>
      <c r="J111" s="28"/>
      <c r="K111" s="28"/>
      <c r="L111" s="28"/>
      <c r="M111" s="28"/>
      <c r="N111" s="28"/>
      <c r="O111" s="30"/>
      <c r="P111" s="30"/>
      <c r="Q111" s="28"/>
      <c r="R111" s="28"/>
      <c r="S111" s="113"/>
      <c r="T111" s="134"/>
      <c r="U111" s="133"/>
    </row>
    <row r="112" spans="2:21">
      <c r="B112" s="27"/>
      <c r="C112" s="28"/>
      <c r="D112" s="18"/>
      <c r="E112" s="18"/>
      <c r="F112" s="29"/>
      <c r="G112" s="18"/>
      <c r="H112" s="29"/>
      <c r="I112" s="28"/>
      <c r="J112" s="28"/>
      <c r="K112" s="28"/>
      <c r="L112" s="28"/>
      <c r="M112" s="28"/>
      <c r="N112" s="28"/>
      <c r="O112" s="30"/>
      <c r="P112" s="30"/>
      <c r="Q112" s="28"/>
      <c r="R112" s="28"/>
      <c r="S112" s="113"/>
      <c r="T112" s="134"/>
      <c r="U112" s="133"/>
    </row>
    <row r="113" spans="2:21">
      <c r="B113" s="27"/>
      <c r="C113" s="28"/>
      <c r="D113" s="18"/>
      <c r="E113" s="18"/>
      <c r="F113" s="29"/>
      <c r="G113" s="18"/>
      <c r="H113" s="29"/>
      <c r="I113" s="28"/>
      <c r="J113" s="28"/>
      <c r="K113" s="28"/>
      <c r="L113" s="28"/>
      <c r="M113" s="28"/>
      <c r="N113" s="28"/>
      <c r="O113" s="30"/>
      <c r="P113" s="30"/>
      <c r="Q113" s="28"/>
      <c r="R113" s="28"/>
      <c r="S113" s="113"/>
      <c r="T113" s="134"/>
      <c r="U113" s="133"/>
    </row>
    <row r="114" spans="2:21">
      <c r="B114" s="27"/>
      <c r="C114" s="28"/>
      <c r="D114" s="18"/>
      <c r="E114" s="18"/>
      <c r="F114" s="29"/>
      <c r="G114" s="18"/>
      <c r="H114" s="29"/>
      <c r="I114" s="28"/>
      <c r="J114" s="28"/>
      <c r="K114" s="28"/>
      <c r="L114" s="28"/>
      <c r="M114" s="28"/>
      <c r="N114" s="28"/>
      <c r="O114" s="30"/>
      <c r="P114" s="30"/>
      <c r="Q114" s="28"/>
      <c r="R114" s="28"/>
      <c r="S114" s="113"/>
      <c r="T114" s="134"/>
      <c r="U114" s="133"/>
    </row>
    <row r="115" spans="2:21">
      <c r="B115" s="27"/>
      <c r="C115" s="28"/>
      <c r="D115" s="18"/>
      <c r="E115" s="18"/>
      <c r="F115" s="29"/>
      <c r="G115" s="18"/>
      <c r="H115" s="29"/>
      <c r="I115" s="28"/>
      <c r="J115" s="28"/>
      <c r="K115" s="28"/>
      <c r="L115" s="28"/>
      <c r="M115" s="28"/>
      <c r="N115" s="28"/>
      <c r="O115" s="30"/>
      <c r="P115" s="30"/>
      <c r="Q115" s="28"/>
      <c r="R115" s="28"/>
      <c r="S115" s="113"/>
      <c r="T115" s="134"/>
      <c r="U115" s="133"/>
    </row>
    <row r="116" spans="2:21">
      <c r="B116" s="27"/>
      <c r="C116" s="28"/>
      <c r="D116" s="18"/>
      <c r="E116" s="18"/>
      <c r="F116" s="29"/>
      <c r="G116" s="18"/>
      <c r="H116" s="29"/>
      <c r="I116" s="28"/>
      <c r="J116" s="28"/>
      <c r="K116" s="28"/>
      <c r="L116" s="28"/>
      <c r="M116" s="28"/>
      <c r="N116" s="28"/>
      <c r="O116" s="30"/>
      <c r="P116" s="30"/>
      <c r="Q116" s="28"/>
      <c r="R116" s="28"/>
      <c r="S116" s="113"/>
      <c r="T116" s="134"/>
      <c r="U116" s="133"/>
    </row>
    <row r="117" spans="2:21">
      <c r="B117" s="27"/>
      <c r="C117" s="28"/>
      <c r="D117" s="18"/>
      <c r="E117" s="18"/>
      <c r="F117" s="29"/>
      <c r="G117" s="18"/>
      <c r="H117" s="29"/>
      <c r="I117" s="28"/>
      <c r="J117" s="28"/>
      <c r="K117" s="28"/>
      <c r="L117" s="28"/>
      <c r="M117" s="28"/>
      <c r="N117" s="28"/>
      <c r="O117" s="30"/>
      <c r="P117" s="30"/>
      <c r="Q117" s="28"/>
      <c r="R117" s="28"/>
      <c r="S117" s="113"/>
      <c r="T117" s="134"/>
      <c r="U117" s="133"/>
    </row>
    <row r="118" spans="2:21">
      <c r="B118" s="27"/>
      <c r="C118" s="28"/>
      <c r="D118" s="18"/>
      <c r="E118" s="18"/>
      <c r="F118" s="29"/>
      <c r="G118" s="18"/>
      <c r="H118" s="29"/>
      <c r="I118" s="28"/>
      <c r="J118" s="28"/>
      <c r="K118" s="28"/>
      <c r="L118" s="28"/>
      <c r="M118" s="28"/>
      <c r="N118" s="28"/>
      <c r="O118" s="30"/>
      <c r="P118" s="30"/>
      <c r="Q118" s="28"/>
      <c r="R118" s="28"/>
      <c r="S118" s="113"/>
      <c r="T118" s="134"/>
      <c r="U118" s="133"/>
    </row>
    <row r="119" spans="2:21">
      <c r="B119" s="27"/>
      <c r="C119" s="28"/>
      <c r="D119" s="18"/>
      <c r="E119" s="18"/>
      <c r="F119" s="29"/>
      <c r="G119" s="18"/>
      <c r="H119" s="29"/>
      <c r="I119" s="28"/>
      <c r="J119" s="28"/>
      <c r="K119" s="28"/>
      <c r="L119" s="28"/>
      <c r="M119" s="28"/>
      <c r="N119" s="28"/>
      <c r="O119" s="30"/>
      <c r="P119" s="30"/>
      <c r="Q119" s="28"/>
      <c r="R119" s="28"/>
      <c r="U119" s="133"/>
    </row>
    <row r="120" spans="2:21">
      <c r="B120" s="27"/>
      <c r="C120" s="28"/>
      <c r="D120" s="18"/>
      <c r="E120" s="18"/>
      <c r="F120" s="29"/>
      <c r="G120" s="18"/>
      <c r="H120" s="29"/>
      <c r="I120" s="28"/>
      <c r="J120" s="28"/>
      <c r="K120" s="28"/>
      <c r="L120" s="28"/>
      <c r="M120" s="28"/>
      <c r="N120" s="28"/>
      <c r="O120" s="30"/>
      <c r="P120" s="30"/>
    </row>
    <row r="121" spans="2:21">
      <c r="B121" s="27"/>
      <c r="C121" s="28"/>
      <c r="D121" s="18"/>
      <c r="E121" s="18"/>
      <c r="F121" s="29"/>
      <c r="G121" s="18"/>
      <c r="H121" s="29"/>
      <c r="I121" s="28"/>
      <c r="J121" s="28"/>
      <c r="K121" s="28"/>
      <c r="L121" s="28"/>
      <c r="M121" s="28"/>
      <c r="N121" s="28"/>
      <c r="O121" s="30"/>
      <c r="P121" s="30"/>
    </row>
    <row r="122" spans="2:21">
      <c r="B122" s="27"/>
      <c r="C122" s="28"/>
      <c r="D122" s="18"/>
      <c r="E122" s="18"/>
      <c r="F122" s="29"/>
      <c r="G122" s="18"/>
      <c r="H122" s="29"/>
      <c r="I122" s="28"/>
      <c r="J122" s="28"/>
      <c r="K122" s="28"/>
      <c r="L122" s="28"/>
      <c r="M122" s="28"/>
      <c r="N122" s="28"/>
      <c r="O122" s="30"/>
      <c r="P122" s="30"/>
    </row>
    <row r="123" spans="2:21">
      <c r="B123" s="27"/>
      <c r="C123" s="28"/>
      <c r="D123" s="18"/>
      <c r="E123" s="18"/>
      <c r="F123" s="29"/>
      <c r="G123" s="18"/>
      <c r="H123" s="29"/>
      <c r="I123" s="28"/>
      <c r="J123" s="28"/>
      <c r="K123" s="28"/>
      <c r="L123" s="28"/>
      <c r="M123" s="28"/>
      <c r="N123" s="28"/>
      <c r="O123" s="30"/>
    </row>
    <row r="124" spans="2:21">
      <c r="B124" s="27"/>
      <c r="C124" s="28"/>
      <c r="D124" s="18"/>
      <c r="E124" s="18"/>
      <c r="F124" s="29"/>
      <c r="G124" s="18"/>
      <c r="H124" s="29"/>
      <c r="I124" s="28"/>
      <c r="J124" s="28"/>
      <c r="K124" s="28"/>
      <c r="L124" s="28"/>
      <c r="M124" s="28"/>
      <c r="N124" s="28"/>
      <c r="O124" s="30"/>
    </row>
    <row r="125" spans="2:21">
      <c r="B125" s="27"/>
      <c r="C125" s="28"/>
      <c r="D125" s="18"/>
      <c r="E125" s="18"/>
      <c r="F125" s="29"/>
      <c r="G125" s="18"/>
    </row>
    <row r="126" spans="2:21">
      <c r="B126" s="27"/>
      <c r="C126" s="28"/>
      <c r="D126" s="18"/>
      <c r="E126" s="18"/>
      <c r="F126" s="29"/>
    </row>
  </sheetData>
  <sheetProtection sheet="1" selectLockedCells="1"/>
  <mergeCells count="4">
    <mergeCell ref="AA6:AB6"/>
    <mergeCell ref="AD6:AE6"/>
    <mergeCell ref="B13:D13"/>
    <mergeCell ref="K13:M13"/>
  </mergeCells>
  <phoneticPr fontId="15" type="noConversion"/>
  <printOptions horizontalCentered="1"/>
  <pageMargins left="0.1701388888888889" right="0.4597222222222222" top="0.3298611111111111" bottom="0.72013888888888888" header="0.51180555555555551" footer="0.51180555555555551"/>
  <pageSetup scale="99" firstPageNumber="0" orientation="landscape" horizontalDpi="300" verticalDpi="300"/>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126"/>
  <sheetViews>
    <sheetView showGridLines="0" showRowColHeaders="0" showZeros="0" showOutlineSymbols="0" topLeftCell="A2" zoomScale="180" zoomScaleNormal="180" workbookViewId="0">
      <selection activeCell="E16" sqref="E16"/>
    </sheetView>
  </sheetViews>
  <sheetFormatPr baseColWidth="10" defaultColWidth="8" defaultRowHeight="11"/>
  <cols>
    <col min="1" max="1" width="8" style="18" customWidth="1"/>
    <col min="2" max="2" width="8.1640625" style="19" customWidth="1"/>
    <col min="3" max="3" width="6.6640625" style="20" customWidth="1"/>
    <col min="4" max="5" width="6.6640625" style="21" customWidth="1"/>
    <col min="6" max="6" width="6.6640625" style="22" customWidth="1"/>
    <col min="7" max="7" width="6.6640625" style="21" customWidth="1"/>
    <col min="8" max="8" width="6.6640625" style="22" customWidth="1"/>
    <col min="9" max="9" width="6.6640625" style="20" customWidth="1"/>
    <col min="10" max="10" width="9.6640625" style="20" customWidth="1"/>
    <col min="11" max="11" width="6.6640625" style="20" customWidth="1"/>
    <col min="12" max="12" width="5.6640625" style="20" customWidth="1"/>
    <col min="13" max="13" width="6.6640625" style="20" customWidth="1"/>
    <col min="14" max="14" width="8.6640625" style="20" customWidth="1"/>
    <col min="15" max="16" width="6.6640625" style="23" customWidth="1"/>
    <col min="17" max="17" width="5.5" style="20" customWidth="1"/>
    <col min="18" max="18" width="7.33203125" style="20" customWidth="1"/>
    <col min="19" max="19" width="6.33203125" style="24" customWidth="1"/>
    <col min="20" max="20" width="6.1640625" style="25" customWidth="1"/>
    <col min="21" max="21" width="6.5" style="26" customWidth="1"/>
    <col min="22" max="31" width="8" style="18" customWidth="1"/>
    <col min="32" max="16384" width="8" style="18"/>
  </cols>
  <sheetData>
    <row r="1" spans="1:32" s="31" customFormat="1" ht="13">
      <c r="A1" s="18"/>
      <c r="B1" s="27"/>
      <c r="C1" s="28"/>
      <c r="D1" s="18"/>
      <c r="E1" s="18"/>
      <c r="F1" s="29"/>
      <c r="G1" s="18"/>
      <c r="H1" s="29"/>
      <c r="I1" s="28"/>
      <c r="J1" s="28"/>
      <c r="K1" s="28"/>
      <c r="L1" s="28"/>
      <c r="M1" s="28"/>
      <c r="N1" s="28"/>
      <c r="O1" s="30"/>
      <c r="P1" s="30"/>
      <c r="R1" s="165" t="s">
        <v>115</v>
      </c>
      <c r="S1" s="28"/>
      <c r="T1" s="32"/>
      <c r="U1" s="32"/>
      <c r="V1" s="33"/>
      <c r="W1" s="34"/>
      <c r="X1" s="35"/>
    </row>
    <row r="2" spans="1:32" s="31" customFormat="1" ht="14">
      <c r="B2" s="36" t="s">
        <v>116</v>
      </c>
      <c r="C2" s="37"/>
      <c r="D2" s="38"/>
      <c r="E2" s="38"/>
      <c r="F2" s="39"/>
      <c r="G2" s="38"/>
      <c r="H2" s="38"/>
      <c r="I2" s="39"/>
      <c r="J2" s="38"/>
      <c r="K2" s="39"/>
      <c r="L2" s="37"/>
      <c r="M2" s="37"/>
      <c r="N2" s="37"/>
      <c r="O2" s="40"/>
      <c r="P2" s="32"/>
      <c r="R2" s="165" t="s">
        <v>117</v>
      </c>
      <c r="S2"/>
      <c r="T2"/>
      <c r="U2"/>
      <c r="V2"/>
      <c r="W2"/>
      <c r="X2"/>
    </row>
    <row r="3" spans="1:32" s="31" customFormat="1" ht="14">
      <c r="B3" s="41"/>
      <c r="C3" s="42" t="s">
        <v>118</v>
      </c>
      <c r="D3" s="43" t="s">
        <v>76</v>
      </c>
      <c r="E3" s="44"/>
      <c r="F3" s="45" t="s">
        <v>119</v>
      </c>
      <c r="G3" s="46" t="s">
        <v>187</v>
      </c>
      <c r="H3" s="44"/>
      <c r="I3" s="45" t="s">
        <v>121</v>
      </c>
      <c r="J3" s="47">
        <v>44670</v>
      </c>
      <c r="K3" s="48"/>
      <c r="L3" s="49" t="s">
        <v>122</v>
      </c>
      <c r="M3" s="50">
        <v>0.41666666666666669</v>
      </c>
      <c r="N3" s="48" t="s">
        <v>123</v>
      </c>
      <c r="O3" s="51"/>
      <c r="P3" s="32"/>
      <c r="R3" s="165" t="s">
        <v>188</v>
      </c>
      <c r="S3"/>
      <c r="T3"/>
      <c r="U3"/>
      <c r="V3"/>
      <c r="W3"/>
      <c r="X3"/>
    </row>
    <row r="4" spans="1:32" s="31" customFormat="1" ht="14">
      <c r="F4" s="52"/>
      <c r="J4" s="53"/>
      <c r="K4" s="54"/>
      <c r="L4" s="55"/>
      <c r="M4" s="53"/>
      <c r="N4" s="54"/>
      <c r="O4" s="56"/>
      <c r="P4" s="32"/>
      <c r="R4" s="165" t="s">
        <v>125</v>
      </c>
      <c r="S4"/>
      <c r="T4"/>
      <c r="U4"/>
      <c r="V4"/>
      <c r="W4"/>
      <c r="X4"/>
    </row>
    <row r="5" spans="1:32" s="31" customFormat="1" ht="14">
      <c r="B5" s="169" t="s">
        <v>126</v>
      </c>
      <c r="C5" s="57"/>
      <c r="D5" s="57"/>
      <c r="E5" s="58"/>
      <c r="F5" s="250">
        <v>70</v>
      </c>
      <c r="N5" s="35"/>
      <c r="O5" s="32"/>
      <c r="P5" s="32"/>
      <c r="R5" s="165" t="s">
        <v>189</v>
      </c>
      <c r="S5"/>
      <c r="T5"/>
      <c r="U5"/>
      <c r="V5"/>
      <c r="W5"/>
      <c r="X5"/>
      <c r="AA5" s="36" t="s">
        <v>190</v>
      </c>
      <c r="AB5" s="37"/>
      <c r="AC5" s="38"/>
      <c r="AD5" s="38"/>
      <c r="AE5" s="40"/>
    </row>
    <row r="6" spans="1:32" s="31" customFormat="1" ht="14">
      <c r="B6" s="169" t="s">
        <v>129</v>
      </c>
      <c r="C6" s="57"/>
      <c r="D6" s="57"/>
      <c r="E6" s="58"/>
      <c r="F6" s="250">
        <v>4</v>
      </c>
      <c r="G6" s="32" t="s">
        <v>130</v>
      </c>
      <c r="J6" s="59" t="s">
        <v>131</v>
      </c>
      <c r="K6" s="60"/>
      <c r="L6" s="61"/>
      <c r="M6" s="62"/>
      <c r="N6" s="35"/>
      <c r="O6" s="32"/>
      <c r="P6" s="32"/>
      <c r="R6" s="165" t="s">
        <v>191</v>
      </c>
      <c r="S6"/>
      <c r="T6"/>
      <c r="U6"/>
      <c r="V6"/>
      <c r="W6"/>
      <c r="X6"/>
      <c r="AA6" s="270" t="s">
        <v>133</v>
      </c>
      <c r="AB6" s="270"/>
      <c r="AC6" s="63"/>
      <c r="AD6" s="271" t="s">
        <v>134</v>
      </c>
      <c r="AE6" s="271"/>
    </row>
    <row r="7" spans="1:32" s="31" customFormat="1" ht="14">
      <c r="B7" s="169" t="s">
        <v>135</v>
      </c>
      <c r="C7" s="57"/>
      <c r="D7" s="57"/>
      <c r="E7" s="58"/>
      <c r="F7" s="251">
        <f>Front_Passengers+Rear_Passengers+F16+F17+Baggage_1+Baggage_2</f>
        <v>760</v>
      </c>
      <c r="G7" s="32"/>
      <c r="J7" s="252" t="s">
        <v>136</v>
      </c>
      <c r="K7" s="253"/>
      <c r="L7" s="254"/>
      <c r="M7" s="255">
        <v>2950</v>
      </c>
      <c r="N7" s="35"/>
      <c r="O7" s="32"/>
      <c r="P7" s="32"/>
      <c r="R7" s="165" t="s">
        <v>192</v>
      </c>
      <c r="S7"/>
      <c r="T7"/>
      <c r="U7"/>
      <c r="V7"/>
      <c r="W7"/>
      <c r="X7"/>
      <c r="AA7" s="64" t="s">
        <v>138</v>
      </c>
      <c r="AB7" s="65" t="s">
        <v>139</v>
      </c>
      <c r="AC7" s="66"/>
      <c r="AD7" s="67" t="s">
        <v>140</v>
      </c>
      <c r="AE7" s="68" t="s">
        <v>139</v>
      </c>
    </row>
    <row r="8" spans="1:32" s="31" customFormat="1" ht="14">
      <c r="B8" s="166" t="s">
        <v>193</v>
      </c>
      <c r="C8" s="57"/>
      <c r="D8" s="256"/>
      <c r="E8" s="257"/>
      <c r="F8" s="251">
        <f>(Departure_Fuel)/13.1</f>
        <v>5.229007633587786</v>
      </c>
      <c r="G8" s="32" t="s">
        <v>130</v>
      </c>
      <c r="J8" s="258" t="s">
        <v>142</v>
      </c>
      <c r="K8" s="69"/>
      <c r="L8" s="70"/>
      <c r="M8" s="259">
        <f>Total_Departure_Weight</f>
        <v>2948.4700000000003</v>
      </c>
      <c r="N8" s="71">
        <f>M8/M7</f>
        <v>0.99948135593220344</v>
      </c>
      <c r="O8" s="32" t="s">
        <v>143</v>
      </c>
      <c r="P8" s="32"/>
      <c r="R8" s="165" t="s">
        <v>194</v>
      </c>
      <c r="S8"/>
      <c r="T8"/>
      <c r="U8"/>
      <c r="V8"/>
      <c r="W8"/>
      <c r="X8"/>
      <c r="AA8" s="72">
        <v>59.5</v>
      </c>
      <c r="AB8" s="73">
        <v>1800</v>
      </c>
      <c r="AC8" s="74"/>
      <c r="AD8" s="75">
        <v>33</v>
      </c>
      <c r="AE8" s="76">
        <v>1800</v>
      </c>
    </row>
    <row r="9" spans="1:32" s="31" customFormat="1" ht="13">
      <c r="B9" s="166" t="s">
        <v>145</v>
      </c>
      <c r="C9" s="57"/>
      <c r="D9" s="256"/>
      <c r="E9" s="257"/>
      <c r="F9" s="260">
        <f>F8-F6</f>
        <v>1.229007633587786</v>
      </c>
      <c r="G9" s="32" t="s">
        <v>130</v>
      </c>
      <c r="J9" s="261" t="s">
        <v>146</v>
      </c>
      <c r="K9" s="77"/>
      <c r="L9" s="78"/>
      <c r="M9" s="79">
        <f>M7-M8</f>
        <v>1.5299999999997453</v>
      </c>
      <c r="N9" s="80"/>
      <c r="O9" s="32"/>
      <c r="P9" s="81"/>
      <c r="R9" s="81"/>
      <c r="S9" s="81"/>
      <c r="T9" s="81"/>
      <c r="AA9" s="72">
        <v>74</v>
      </c>
      <c r="AB9" s="73">
        <v>2250</v>
      </c>
      <c r="AC9" s="74"/>
      <c r="AD9" s="75">
        <v>33</v>
      </c>
      <c r="AE9" s="76">
        <v>2250</v>
      </c>
    </row>
    <row r="10" spans="1:32" s="31" customFormat="1" ht="13">
      <c r="B10" s="167" t="s">
        <v>195</v>
      </c>
      <c r="C10" s="32"/>
      <c r="D10" s="32"/>
      <c r="G10" s="54"/>
      <c r="I10" s="54"/>
      <c r="J10" s="32"/>
      <c r="K10" s="32"/>
      <c r="L10" s="32"/>
      <c r="M10" s="32"/>
      <c r="O10" s="82"/>
      <c r="P10" s="81"/>
      <c r="R10" s="81"/>
      <c r="S10" s="81"/>
      <c r="T10" s="81"/>
      <c r="AA10" s="72">
        <v>116.6</v>
      </c>
      <c r="AB10" s="73">
        <v>2950</v>
      </c>
      <c r="AC10" s="74"/>
      <c r="AD10" s="75">
        <v>39.5</v>
      </c>
      <c r="AE10" s="76">
        <v>2950</v>
      </c>
    </row>
    <row r="11" spans="1:32" s="31" customFormat="1" ht="13">
      <c r="B11" s="167"/>
      <c r="C11" s="32"/>
      <c r="D11" s="32"/>
      <c r="G11" s="54"/>
      <c r="I11" s="54"/>
      <c r="J11" s="32"/>
      <c r="K11" s="32"/>
      <c r="L11" s="32"/>
      <c r="M11" s="32"/>
      <c r="O11" s="82"/>
      <c r="P11" s="81"/>
      <c r="R11" s="81"/>
      <c r="S11" s="81"/>
      <c r="T11" s="81"/>
      <c r="AA11" s="72">
        <v>143</v>
      </c>
      <c r="AB11" s="73">
        <v>2950</v>
      </c>
      <c r="AC11" s="74"/>
      <c r="AD11" s="75">
        <v>48.5</v>
      </c>
      <c r="AE11" s="76">
        <v>2950</v>
      </c>
    </row>
    <row r="12" spans="1:32" s="31" customFormat="1" ht="12">
      <c r="B12" s="36" t="s">
        <v>148</v>
      </c>
      <c r="C12" s="37"/>
      <c r="D12" s="38"/>
      <c r="E12" s="38"/>
      <c r="F12" s="38"/>
      <c r="G12" s="39"/>
      <c r="H12" s="40"/>
      <c r="K12" s="36" t="s">
        <v>149</v>
      </c>
      <c r="L12" s="37"/>
      <c r="M12" s="38"/>
      <c r="N12" s="38"/>
      <c r="O12" s="39"/>
      <c r="P12" s="40"/>
      <c r="R12" s="81"/>
      <c r="S12" s="83"/>
      <c r="T12" s="31" t="s">
        <v>150</v>
      </c>
      <c r="AA12" s="72">
        <v>87</v>
      </c>
      <c r="AB12" s="73">
        <v>1800</v>
      </c>
      <c r="AC12" s="74"/>
      <c r="AD12" s="84">
        <v>48.5</v>
      </c>
      <c r="AE12" s="85">
        <v>1800</v>
      </c>
    </row>
    <row r="13" spans="1:32" s="31" customFormat="1" ht="12.75" customHeight="1">
      <c r="B13" s="272" t="s">
        <v>151</v>
      </c>
      <c r="C13" s="272"/>
      <c r="D13" s="272"/>
      <c r="E13" s="86" t="s">
        <v>139</v>
      </c>
      <c r="F13" s="87"/>
      <c r="G13" s="88" t="s">
        <v>152</v>
      </c>
      <c r="H13" s="89" t="s">
        <v>138</v>
      </c>
      <c r="K13" s="272" t="s">
        <v>151</v>
      </c>
      <c r="L13" s="272"/>
      <c r="M13" s="272"/>
      <c r="N13" s="86" t="s">
        <v>139</v>
      </c>
      <c r="O13" s="88" t="s">
        <v>152</v>
      </c>
      <c r="P13" s="89" t="s">
        <v>138</v>
      </c>
      <c r="Q13" s="81"/>
      <c r="R13" s="81"/>
      <c r="S13" s="81"/>
      <c r="T13" s="81"/>
      <c r="AB13" s="90"/>
      <c r="AC13" s="90"/>
      <c r="AD13" s="90"/>
    </row>
    <row r="14" spans="1:32" s="31" customFormat="1" ht="12">
      <c r="B14" s="91"/>
      <c r="C14" s="32"/>
      <c r="E14" s="92" t="s">
        <v>153</v>
      </c>
      <c r="F14" s="93"/>
      <c r="G14" s="94" t="s">
        <v>154</v>
      </c>
      <c r="H14" s="95" t="s">
        <v>155</v>
      </c>
      <c r="K14" s="91"/>
      <c r="L14" s="32"/>
      <c r="N14" s="92" t="s">
        <v>153</v>
      </c>
      <c r="O14" s="94" t="s">
        <v>154</v>
      </c>
      <c r="P14" s="95" t="s">
        <v>155</v>
      </c>
      <c r="Q14" s="81"/>
      <c r="S14" s="81"/>
      <c r="T14" s="35"/>
    </row>
    <row r="15" spans="1:32" s="31" customFormat="1" ht="12">
      <c r="B15" s="96"/>
      <c r="C15" s="97"/>
      <c r="D15" s="98" t="s">
        <v>156</v>
      </c>
      <c r="E15" s="99">
        <v>1777.47</v>
      </c>
      <c r="F15" s="100"/>
      <c r="G15" s="101">
        <f>IF(Empty_Weight,Empty_Moment*1000/Empty_Weight,"")</f>
        <v>35.887761818764872</v>
      </c>
      <c r="H15" s="102">
        <v>63.78942</v>
      </c>
      <c r="K15" s="96"/>
      <c r="L15" s="97"/>
      <c r="M15" s="98" t="s">
        <v>156</v>
      </c>
      <c r="N15" s="99">
        <f>'N9989E-C182P'!Empty_Weight</f>
        <v>1777.47</v>
      </c>
      <c r="O15" s="101">
        <f>Empty_Arm</f>
        <v>35.887761818764872</v>
      </c>
      <c r="P15" s="102">
        <f>'N9989E-C182P'!Empty_Moment</f>
        <v>63.78942</v>
      </c>
      <c r="Q15" s="81"/>
      <c r="S15" s="54"/>
      <c r="T15" s="35"/>
      <c r="W15" s="35"/>
    </row>
    <row r="16" spans="1:32" s="31" customFormat="1" ht="12">
      <c r="B16" s="103"/>
      <c r="C16" s="104"/>
      <c r="D16" s="105" t="s">
        <v>157</v>
      </c>
      <c r="E16" s="106">
        <v>240</v>
      </c>
      <c r="F16" s="107">
        <v>220</v>
      </c>
      <c r="G16" s="108">
        <v>37</v>
      </c>
      <c r="H16" s="109">
        <f>(Front_Passengers+F16)*Front_Passenger_Arm/1000</f>
        <v>17.02</v>
      </c>
      <c r="K16" s="103"/>
      <c r="L16" s="104"/>
      <c r="M16" s="105" t="s">
        <v>157</v>
      </c>
      <c r="N16" s="110">
        <f>Front_Passengers+F16</f>
        <v>460</v>
      </c>
      <c r="O16" s="108">
        <f>Front_Passenger_Arm</f>
        <v>37</v>
      </c>
      <c r="P16" s="109">
        <f>Front_Passenger_Moment</f>
        <v>17.02</v>
      </c>
      <c r="Q16" s="81"/>
      <c r="S16" s="54"/>
      <c r="T16" s="35"/>
      <c r="W16" s="18"/>
      <c r="AA16" s="18"/>
      <c r="AB16" s="18"/>
      <c r="AC16" s="18"/>
      <c r="AD16" s="18"/>
      <c r="AE16" s="18"/>
      <c r="AF16" s="18"/>
    </row>
    <row r="17" spans="2:21" ht="12">
      <c r="B17" s="111"/>
      <c r="C17" s="104"/>
      <c r="D17" s="112" t="s">
        <v>158</v>
      </c>
      <c r="E17" s="106">
        <v>150</v>
      </c>
      <c r="F17" s="107">
        <v>100</v>
      </c>
      <c r="G17" s="108">
        <v>74</v>
      </c>
      <c r="H17" s="109">
        <f>(Rear_Passengers+F17)*Rear_Passenger_Arm/1000</f>
        <v>18.5</v>
      </c>
      <c r="I17" s="31"/>
      <c r="J17" s="31"/>
      <c r="K17" s="111"/>
      <c r="L17" s="104"/>
      <c r="M17" s="112" t="s">
        <v>158</v>
      </c>
      <c r="N17" s="110">
        <f>Rear_Passengers+F17</f>
        <v>250</v>
      </c>
      <c r="O17" s="108">
        <f>Rear_Passenger_Arm</f>
        <v>74</v>
      </c>
      <c r="P17" s="109">
        <f>Rear_Passenger_Moment</f>
        <v>18.5</v>
      </c>
      <c r="Q17" s="81"/>
      <c r="R17" s="31"/>
      <c r="S17" s="54"/>
      <c r="T17" s="113"/>
      <c r="U17" s="18"/>
    </row>
    <row r="18" spans="2:21" ht="12">
      <c r="B18" s="114"/>
      <c r="C18" s="104"/>
      <c r="D18" s="112" t="s">
        <v>159</v>
      </c>
      <c r="E18" s="106">
        <v>30</v>
      </c>
      <c r="F18" s="115"/>
      <c r="G18" s="108">
        <v>97</v>
      </c>
      <c r="H18" s="109">
        <f>Baggage_1*Baggage_1_Arm/1000</f>
        <v>2.91</v>
      </c>
      <c r="I18" s="31"/>
      <c r="J18" s="31"/>
      <c r="K18" s="114"/>
      <c r="L18" s="104"/>
      <c r="M18" s="112" t="s">
        <v>160</v>
      </c>
      <c r="N18" s="110">
        <f>Baggage_1</f>
        <v>30</v>
      </c>
      <c r="O18" s="108">
        <f>Baggage_1_Arm</f>
        <v>97</v>
      </c>
      <c r="P18" s="109">
        <f>Baggage_1_Moment</f>
        <v>2.91</v>
      </c>
      <c r="Q18" s="31"/>
      <c r="R18" s="28"/>
      <c r="S18" s="28"/>
      <c r="T18" s="113"/>
      <c r="U18" s="18"/>
    </row>
    <row r="19" spans="2:21" ht="12">
      <c r="B19" s="114"/>
      <c r="C19" s="104"/>
      <c r="D19" s="112" t="s">
        <v>161</v>
      </c>
      <c r="E19" s="106">
        <v>20</v>
      </c>
      <c r="F19" s="116"/>
      <c r="G19" s="108">
        <v>115</v>
      </c>
      <c r="H19" s="109">
        <f>Baggage_2*Baggage_2_Arm/1000</f>
        <v>2.2999999999999998</v>
      </c>
      <c r="I19" s="31"/>
      <c r="J19" s="18"/>
      <c r="K19" s="114"/>
      <c r="L19" s="104"/>
      <c r="M19" s="112" t="s">
        <v>162</v>
      </c>
      <c r="N19" s="110">
        <f>Baggage_2</f>
        <v>20</v>
      </c>
      <c r="O19" s="108">
        <f>Baggage_2_Arm</f>
        <v>115</v>
      </c>
      <c r="P19" s="109">
        <f>Baggage_2_Moment</f>
        <v>2.2999999999999998</v>
      </c>
      <c r="Q19" s="31"/>
      <c r="R19" s="28"/>
      <c r="S19" s="28"/>
      <c r="T19" s="18"/>
      <c r="U19" s="18"/>
    </row>
    <row r="20" spans="2:21" ht="12">
      <c r="B20" s="111"/>
      <c r="C20" s="117" t="s">
        <v>163</v>
      </c>
      <c r="D20" s="108">
        <f>F5-Grnd_Ops_Fuel</f>
        <v>68.5</v>
      </c>
      <c r="E20" s="110">
        <f>(Departure_Fuel)*6</f>
        <v>411</v>
      </c>
      <c r="F20" s="118"/>
      <c r="G20" s="108">
        <v>48.055555555555557</v>
      </c>
      <c r="H20" s="109">
        <f>Departure_Fuel_Weight*Fuel_Arm/1000</f>
        <v>19.750833333333336</v>
      </c>
      <c r="I20" s="31"/>
      <c r="J20" s="18"/>
      <c r="K20" s="119"/>
      <c r="L20" s="117" t="s">
        <v>164</v>
      </c>
      <c r="M20" s="108">
        <f>Departure_Fuel-F6*12.7</f>
        <v>17.700000000000003</v>
      </c>
      <c r="N20" s="110">
        <f>Arrival_Fuel*6</f>
        <v>106.20000000000002</v>
      </c>
      <c r="O20" s="108">
        <f>Fuel_Arm</f>
        <v>48.055555555555557</v>
      </c>
      <c r="P20" s="109">
        <f>Arrival_Fuel_Weight*Fuel_Arm/1000</f>
        <v>5.1035000000000013</v>
      </c>
      <c r="Q20" s="31"/>
      <c r="R20" s="18"/>
      <c r="S20" s="18"/>
      <c r="T20" s="18"/>
      <c r="U20" s="18"/>
    </row>
    <row r="21" spans="2:21" ht="12">
      <c r="B21" s="111"/>
      <c r="C21" s="117" t="s">
        <v>165</v>
      </c>
      <c r="D21" s="120">
        <v>1.5</v>
      </c>
      <c r="E21" s="110"/>
      <c r="F21" s="118"/>
      <c r="G21" s="108"/>
      <c r="H21" s="109">
        <f>Grnd_Ops_Fuel_Weight*Fuel_Arm/1000</f>
        <v>0</v>
      </c>
      <c r="I21" s="54"/>
      <c r="J21" s="18"/>
      <c r="K21" s="121"/>
      <c r="L21" s="122"/>
      <c r="M21" s="123" t="s">
        <v>166</v>
      </c>
      <c r="N21" s="124">
        <f>SUM(N15:N20)</f>
        <v>2643.67</v>
      </c>
      <c r="O21" s="125">
        <f>IF(Total_Arrival_Weight,Total_Arrival_Moment*1000/Total_Arrival_Weight,"")</f>
        <v>41.466189047800974</v>
      </c>
      <c r="P21" s="126">
        <f>SUM(P15:P20)</f>
        <v>109.62291999999999</v>
      </c>
      <c r="Q21" s="30"/>
      <c r="R21" s="18"/>
      <c r="S21" s="18"/>
      <c r="T21" s="18"/>
      <c r="U21" s="18"/>
    </row>
    <row r="22" spans="2:21" ht="12">
      <c r="B22" s="121"/>
      <c r="C22" s="122"/>
      <c r="D22" s="123" t="s">
        <v>166</v>
      </c>
      <c r="E22" s="124">
        <f>SUM(E15:E21)+F16+F17</f>
        <v>2948.4700000000003</v>
      </c>
      <c r="F22" s="127"/>
      <c r="G22" s="125">
        <f>IF(Total_Departure_Weight,Total_Departure_Moment*1000/Total_Departure_Weight,"")</f>
        <v>42.147369087470217</v>
      </c>
      <c r="H22" s="126">
        <f>SUM(H15:H21)</f>
        <v>124.27025333333333</v>
      </c>
      <c r="I22" s="54"/>
      <c r="J22" s="18"/>
      <c r="K22" s="128"/>
      <c r="L22" s="129"/>
      <c r="M22" s="130"/>
      <c r="N22" s="130"/>
      <c r="O22" s="131" t="s">
        <v>167</v>
      </c>
      <c r="P22" s="132">
        <f>Total_Arrival_Arm</f>
        <v>41.466189047800974</v>
      </c>
      <c r="Q22" s="30"/>
      <c r="R22" s="18"/>
      <c r="S22" s="18"/>
      <c r="T22" s="18"/>
      <c r="U22" s="18"/>
    </row>
    <row r="23" spans="2:21" ht="12">
      <c r="B23" s="128"/>
      <c r="C23" s="129"/>
      <c r="D23" s="130"/>
      <c r="E23" s="130"/>
      <c r="F23" s="130"/>
      <c r="G23" s="131" t="s">
        <v>167</v>
      </c>
      <c r="H23" s="132">
        <f>Total_Departure_Arm</f>
        <v>42.147369087470217</v>
      </c>
      <c r="I23" s="29"/>
      <c r="J23" s="28"/>
      <c r="K23" s="18"/>
      <c r="L23" s="18"/>
      <c r="M23" s="18"/>
      <c r="N23" s="18"/>
      <c r="O23" s="18"/>
      <c r="P23" s="30"/>
      <c r="Q23" s="18"/>
      <c r="R23" s="18"/>
      <c r="S23" s="18"/>
      <c r="T23" s="18"/>
      <c r="U23" s="18"/>
    </row>
    <row r="24" spans="2:21">
      <c r="B24" s="18"/>
      <c r="C24" s="18"/>
      <c r="D24" s="18"/>
      <c r="E24" s="18"/>
      <c r="F24" s="18"/>
      <c r="G24" s="18"/>
      <c r="H24" s="29"/>
      <c r="I24" s="28"/>
      <c r="J24" s="18"/>
      <c r="K24" s="18"/>
      <c r="L24" s="18"/>
      <c r="M24" s="18"/>
      <c r="N24" s="18"/>
      <c r="O24" s="30"/>
      <c r="P24" s="18"/>
      <c r="Q24" s="18"/>
      <c r="R24" s="18"/>
      <c r="S24" s="18"/>
      <c r="T24" s="18"/>
      <c r="U24" s="18"/>
    </row>
    <row r="25" spans="2:21">
      <c r="B25" s="18"/>
      <c r="C25" s="18"/>
      <c r="D25" s="18"/>
      <c r="E25" s="18"/>
      <c r="F25" s="18"/>
      <c r="G25" s="18"/>
      <c r="H25" s="29"/>
      <c r="I25" s="28"/>
      <c r="J25" s="18"/>
      <c r="K25" s="18"/>
      <c r="L25" s="18"/>
      <c r="M25" s="18"/>
      <c r="N25" s="18"/>
      <c r="O25" s="18"/>
      <c r="P25" s="18"/>
      <c r="Q25" s="18"/>
      <c r="R25" s="18"/>
      <c r="S25" s="18"/>
      <c r="T25" s="18"/>
      <c r="U25" s="133"/>
    </row>
    <row r="26" spans="2:21">
      <c r="B26" s="18"/>
      <c r="C26" s="18"/>
      <c r="D26" s="18"/>
      <c r="E26" s="18"/>
      <c r="F26" s="18"/>
      <c r="G26" s="18"/>
      <c r="H26" s="29"/>
      <c r="I26" s="18"/>
      <c r="J26" s="18"/>
      <c r="K26" s="18"/>
      <c r="L26" s="18"/>
      <c r="M26" s="18"/>
      <c r="N26" s="18"/>
      <c r="O26" s="18"/>
      <c r="P26" s="18"/>
      <c r="Q26" s="18"/>
      <c r="R26" s="18"/>
      <c r="S26" s="18"/>
      <c r="T26" s="18"/>
      <c r="U26" s="133"/>
    </row>
    <row r="27" spans="2:21">
      <c r="B27" s="18"/>
      <c r="C27" s="18"/>
      <c r="D27" s="18"/>
      <c r="E27" s="18"/>
      <c r="F27" s="18"/>
      <c r="G27" s="18"/>
      <c r="H27" s="29"/>
      <c r="I27" s="28"/>
      <c r="J27" s="18"/>
      <c r="K27" s="18"/>
      <c r="L27" s="18"/>
      <c r="M27" s="18"/>
      <c r="N27" s="18"/>
      <c r="O27" s="18"/>
      <c r="P27" s="18"/>
      <c r="Q27" s="18"/>
      <c r="R27" s="18"/>
      <c r="S27" s="18"/>
      <c r="T27" s="18"/>
      <c r="U27" s="133"/>
    </row>
    <row r="28" spans="2:21">
      <c r="B28" s="18"/>
      <c r="C28" s="18"/>
      <c r="D28" s="18"/>
      <c r="E28" s="18"/>
      <c r="F28" s="18"/>
      <c r="G28" s="18"/>
      <c r="H28" s="29"/>
      <c r="I28" s="28"/>
      <c r="J28" s="18"/>
      <c r="K28" s="18"/>
      <c r="L28" s="18"/>
      <c r="M28" s="18"/>
      <c r="N28" s="18"/>
      <c r="O28" s="18"/>
      <c r="P28" s="18"/>
      <c r="Q28" s="18"/>
      <c r="R28" s="18"/>
      <c r="S28" s="18"/>
      <c r="T28" s="18"/>
      <c r="U28" s="133"/>
    </row>
    <row r="29" spans="2:21">
      <c r="B29" s="18"/>
      <c r="C29" s="18"/>
      <c r="D29" s="18"/>
      <c r="E29" s="18"/>
      <c r="F29" s="18"/>
      <c r="G29" s="18"/>
      <c r="H29" s="18"/>
      <c r="I29" s="18"/>
      <c r="J29" s="18"/>
      <c r="K29" s="18"/>
      <c r="L29" s="18"/>
      <c r="M29" s="18"/>
      <c r="N29" s="18"/>
      <c r="O29" s="18"/>
      <c r="P29" s="18"/>
      <c r="Q29" s="18"/>
      <c r="R29" s="18"/>
      <c r="S29" s="18"/>
      <c r="T29" s="18"/>
      <c r="U29" s="133"/>
    </row>
    <row r="30" spans="2:21">
      <c r="B30" s="18"/>
      <c r="C30" s="18"/>
      <c r="D30" s="18"/>
      <c r="E30" s="18"/>
      <c r="F30" s="18"/>
      <c r="G30" s="18"/>
      <c r="H30" s="18"/>
      <c r="I30" s="18"/>
      <c r="J30" s="18"/>
      <c r="K30" s="18"/>
      <c r="L30" s="18"/>
      <c r="M30" s="18"/>
      <c r="N30" s="18"/>
      <c r="O30" s="18"/>
      <c r="P30" s="18"/>
      <c r="Q30" s="18"/>
      <c r="R30" s="18"/>
      <c r="S30" s="18"/>
      <c r="T30" s="18"/>
      <c r="U30" s="133"/>
    </row>
    <row r="31" spans="2:21">
      <c r="B31" s="18"/>
      <c r="C31" s="18"/>
      <c r="D31" s="18"/>
      <c r="E31" s="18"/>
      <c r="F31" s="18"/>
      <c r="G31" s="18"/>
      <c r="H31" s="18"/>
      <c r="I31" s="18"/>
      <c r="J31" s="18"/>
      <c r="K31" s="18"/>
      <c r="L31" s="18"/>
      <c r="M31" s="18"/>
      <c r="N31" s="18"/>
      <c r="O31" s="18"/>
      <c r="P31" s="18"/>
      <c r="Q31" s="18"/>
      <c r="R31" s="18"/>
      <c r="S31" s="18"/>
      <c r="T31" s="18"/>
      <c r="U31" s="133"/>
    </row>
    <row r="32" spans="2:21">
      <c r="B32" s="18"/>
      <c r="C32" s="18"/>
      <c r="D32" s="18"/>
      <c r="E32" s="18"/>
      <c r="F32" s="18"/>
      <c r="G32" s="18"/>
      <c r="H32" s="18"/>
      <c r="I32" s="18"/>
      <c r="J32" s="28"/>
      <c r="K32" s="28"/>
      <c r="L32" s="28"/>
      <c r="M32" s="28"/>
      <c r="N32" s="28"/>
      <c r="O32" s="18"/>
      <c r="P32" s="18"/>
      <c r="Q32" s="18"/>
      <c r="R32" s="18"/>
      <c r="S32" s="18"/>
      <c r="T32" s="18"/>
      <c r="U32" s="133"/>
    </row>
    <row r="33" spans="2:21">
      <c r="B33" s="18"/>
      <c r="C33" s="18"/>
      <c r="D33" s="18"/>
      <c r="E33" s="18"/>
      <c r="F33" s="18"/>
      <c r="G33" s="18"/>
      <c r="H33" s="18"/>
      <c r="I33" s="18"/>
      <c r="J33" s="28"/>
      <c r="K33" s="28"/>
      <c r="L33" s="28"/>
      <c r="M33" s="28"/>
      <c r="N33" s="28"/>
      <c r="O33" s="18"/>
      <c r="P33" s="18"/>
      <c r="Q33" s="18"/>
      <c r="R33" s="18"/>
      <c r="S33" s="18"/>
      <c r="T33" s="18"/>
      <c r="U33" s="133"/>
    </row>
    <row r="34" spans="2:21">
      <c r="B34" s="18"/>
      <c r="C34" s="18"/>
      <c r="D34" s="18"/>
      <c r="E34" s="18"/>
      <c r="F34" s="18"/>
      <c r="G34" s="18"/>
      <c r="H34" s="18"/>
      <c r="I34" s="18"/>
      <c r="J34" s="28"/>
      <c r="K34" s="28"/>
      <c r="L34" s="28"/>
      <c r="M34" s="28"/>
      <c r="N34" s="28"/>
      <c r="O34" s="18"/>
      <c r="P34" s="18"/>
      <c r="Q34" s="18"/>
      <c r="R34" s="18"/>
      <c r="S34" s="18"/>
      <c r="T34" s="18"/>
      <c r="U34" s="18"/>
    </row>
    <row r="35" spans="2:21">
      <c r="B35" s="18"/>
      <c r="C35" s="18"/>
      <c r="D35" s="18"/>
      <c r="E35" s="18"/>
      <c r="F35" s="18"/>
      <c r="G35" s="18"/>
      <c r="H35" s="29"/>
      <c r="I35" s="28"/>
      <c r="J35" s="28"/>
      <c r="K35" s="28"/>
      <c r="L35" s="28"/>
      <c r="M35" s="28"/>
      <c r="N35" s="28"/>
      <c r="O35" s="18"/>
      <c r="P35" s="18"/>
      <c r="Q35" s="133"/>
      <c r="R35" s="18"/>
      <c r="S35" s="18"/>
      <c r="T35" s="18"/>
      <c r="U35" s="18"/>
    </row>
    <row r="36" spans="2:21">
      <c r="B36" s="27"/>
      <c r="C36" s="28"/>
      <c r="D36" s="18"/>
      <c r="E36" s="18"/>
      <c r="F36" s="29"/>
      <c r="G36" s="18"/>
      <c r="H36" s="29"/>
      <c r="I36" s="28"/>
      <c r="J36" s="28"/>
      <c r="K36" s="28"/>
      <c r="L36" s="28"/>
      <c r="M36" s="28"/>
      <c r="N36" s="28"/>
      <c r="O36" s="18"/>
      <c r="P36" s="18"/>
      <c r="Q36" s="133"/>
      <c r="R36" s="18"/>
      <c r="S36" s="18"/>
      <c r="T36" s="18"/>
      <c r="U36" s="18"/>
    </row>
    <row r="37" spans="2:21">
      <c r="B37" s="27"/>
      <c r="C37" s="28"/>
      <c r="D37" s="18"/>
      <c r="E37" s="18"/>
      <c r="F37" s="29"/>
      <c r="G37" s="18"/>
      <c r="H37" s="29"/>
      <c r="I37" s="28"/>
      <c r="J37" s="28"/>
      <c r="K37" s="28"/>
      <c r="L37" s="28"/>
      <c r="M37" s="28"/>
      <c r="N37" s="28"/>
      <c r="O37" s="18"/>
      <c r="P37" s="18"/>
      <c r="Q37" s="18"/>
      <c r="R37" s="18"/>
      <c r="S37" s="18"/>
      <c r="T37" s="18"/>
      <c r="U37" s="18"/>
    </row>
    <row r="38" spans="2:21">
      <c r="B38" s="27"/>
      <c r="C38" s="28"/>
      <c r="D38" s="18"/>
      <c r="E38" s="18"/>
      <c r="F38" s="29"/>
      <c r="G38" s="18"/>
      <c r="H38" s="29"/>
      <c r="I38" s="28"/>
      <c r="J38" s="28"/>
      <c r="K38" s="28"/>
      <c r="L38" s="28"/>
      <c r="M38" s="28"/>
      <c r="N38" s="28"/>
      <c r="O38" s="18"/>
      <c r="P38" s="134"/>
      <c r="Q38" s="133"/>
      <c r="R38" s="18"/>
      <c r="S38" s="18"/>
      <c r="T38" s="18"/>
      <c r="U38" s="18"/>
    </row>
    <row r="39" spans="2:21">
      <c r="B39" s="27"/>
      <c r="C39" s="28"/>
      <c r="D39" s="18"/>
      <c r="E39" s="18"/>
      <c r="F39" s="29"/>
      <c r="G39" s="18"/>
      <c r="H39" s="28"/>
      <c r="I39" s="28"/>
      <c r="J39" s="28"/>
      <c r="K39" s="30"/>
      <c r="L39" s="30"/>
      <c r="M39" s="28"/>
      <c r="N39" s="28"/>
      <c r="O39" s="18"/>
      <c r="P39" s="134"/>
      <c r="Q39" s="133"/>
      <c r="R39" s="18"/>
      <c r="S39" s="18"/>
      <c r="T39" s="18"/>
      <c r="U39" s="18"/>
    </row>
    <row r="40" spans="2:21">
      <c r="B40" s="18"/>
      <c r="C40" s="18"/>
      <c r="D40" s="29"/>
      <c r="E40" s="18"/>
      <c r="F40" s="18"/>
      <c r="G40" s="28"/>
      <c r="H40" s="28"/>
      <c r="I40" s="28"/>
      <c r="J40" s="28"/>
      <c r="K40" s="30"/>
      <c r="L40" s="30"/>
      <c r="M40" s="28"/>
      <c r="N40" s="28"/>
      <c r="O40" s="113"/>
      <c r="P40" s="133"/>
      <c r="Q40" s="133"/>
      <c r="R40" s="18"/>
      <c r="S40" s="18"/>
      <c r="T40" s="18"/>
      <c r="U40" s="18"/>
    </row>
    <row r="41" spans="2:21">
      <c r="B41" s="18"/>
      <c r="C41" s="18"/>
      <c r="D41" s="29"/>
      <c r="E41" s="18"/>
      <c r="F41" s="18"/>
      <c r="G41" s="28"/>
      <c r="H41" s="28"/>
      <c r="I41" s="28"/>
      <c r="J41" s="28"/>
      <c r="K41" s="30"/>
      <c r="L41" s="30"/>
      <c r="M41" s="28"/>
      <c r="N41" s="28"/>
      <c r="O41" s="113"/>
      <c r="P41" s="134"/>
      <c r="Q41" s="134"/>
      <c r="R41" s="133"/>
      <c r="S41" s="113"/>
      <c r="T41" s="134"/>
      <c r="U41" s="18"/>
    </row>
    <row r="42" spans="2:21">
      <c r="B42" s="18"/>
      <c r="C42" s="18"/>
      <c r="D42" s="29"/>
      <c r="E42" s="18"/>
      <c r="F42" s="18"/>
      <c r="G42" s="28"/>
      <c r="H42" s="28"/>
      <c r="I42" s="28"/>
      <c r="J42" s="30"/>
      <c r="K42" s="30"/>
      <c r="L42" s="28"/>
      <c r="M42" s="28"/>
      <c r="N42" s="113"/>
      <c r="O42" s="134"/>
      <c r="P42" s="134"/>
      <c r="Q42" s="28"/>
      <c r="R42" s="28"/>
      <c r="S42" s="113"/>
      <c r="T42" s="134"/>
      <c r="U42" s="133"/>
    </row>
    <row r="43" spans="2:21">
      <c r="B43" s="18"/>
      <c r="C43" s="18"/>
      <c r="D43" s="28"/>
      <c r="E43" s="18"/>
      <c r="F43" s="18"/>
      <c r="G43" s="28"/>
      <c r="H43" s="28"/>
      <c r="I43" s="28"/>
      <c r="J43" s="28"/>
      <c r="K43" s="30"/>
      <c r="L43" s="30"/>
      <c r="M43" s="28"/>
      <c r="N43" s="28"/>
      <c r="O43" s="113"/>
      <c r="P43" s="134"/>
      <c r="Q43" s="28"/>
      <c r="R43" s="28"/>
      <c r="S43" s="113"/>
      <c r="T43" s="134"/>
      <c r="U43" s="133"/>
    </row>
    <row r="44" spans="2:21">
      <c r="B44" s="27"/>
      <c r="C44" s="28"/>
      <c r="D44" s="135"/>
      <c r="E44" s="18"/>
      <c r="F44" s="18"/>
      <c r="G44" s="28"/>
      <c r="H44" s="28"/>
      <c r="I44" s="28"/>
      <c r="J44" s="28"/>
      <c r="K44" s="30"/>
      <c r="L44" s="18" t="s">
        <v>168</v>
      </c>
      <c r="M44" s="28"/>
      <c r="N44" s="28"/>
      <c r="O44" s="113"/>
      <c r="P44" s="113"/>
      <c r="Q44" s="28"/>
      <c r="R44" s="28"/>
      <c r="S44" s="113"/>
      <c r="T44" s="134"/>
      <c r="U44" s="133"/>
    </row>
    <row r="45" spans="2:21" ht="24">
      <c r="B45" s="18"/>
      <c r="C45" s="27" t="s">
        <v>196</v>
      </c>
      <c r="D45" s="136" t="s">
        <v>169</v>
      </c>
      <c r="E45" s="136" t="s">
        <v>170</v>
      </c>
      <c r="F45" s="137" t="s">
        <v>171</v>
      </c>
      <c r="G45" s="18"/>
      <c r="H45" s="18"/>
      <c r="I45" s="18"/>
      <c r="J45" s="138" t="s">
        <v>196</v>
      </c>
      <c r="K45" s="138" t="s">
        <v>197</v>
      </c>
      <c r="L45" s="139" t="s">
        <v>173</v>
      </c>
      <c r="M45" s="140">
        <v>2500</v>
      </c>
      <c r="N45" s="140">
        <v>5000</v>
      </c>
      <c r="O45" s="140">
        <v>7500</v>
      </c>
      <c r="P45" s="140">
        <v>10000</v>
      </c>
      <c r="Q45" s="18"/>
      <c r="R45" s="28"/>
      <c r="S45" s="113"/>
      <c r="T45" s="134"/>
      <c r="U45" s="133"/>
    </row>
    <row r="46" spans="2:21">
      <c r="B46" s="18"/>
      <c r="C46" s="141" t="s">
        <v>174</v>
      </c>
      <c r="D46" s="141">
        <v>126</v>
      </c>
      <c r="E46" s="142">
        <f>SQRT($E$22/2950)*D46</f>
        <v>125.96732118601102</v>
      </c>
      <c r="F46" s="142">
        <f>SQRT($N$21/2950)*D46</f>
        <v>119.27877177691833</v>
      </c>
      <c r="G46" s="18"/>
      <c r="H46" s="18"/>
      <c r="I46" s="18"/>
      <c r="J46" s="143" t="s">
        <v>175</v>
      </c>
      <c r="K46" s="144">
        <v>60</v>
      </c>
      <c r="L46" s="145">
        <f>SQRT($E$22/2950)*K46</f>
        <v>59.984438660005246</v>
      </c>
      <c r="M46" s="145">
        <f>L46+1.08</f>
        <v>61.064438660005244</v>
      </c>
      <c r="N46" s="145">
        <f>M46+1.08</f>
        <v>62.144438660005243</v>
      </c>
      <c r="O46" s="145">
        <f>N46+1.08</f>
        <v>63.224438660005241</v>
      </c>
      <c r="P46" s="145">
        <f>O46+1.08</f>
        <v>64.304438660005246</v>
      </c>
      <c r="Q46" s="146"/>
      <c r="R46" s="28"/>
      <c r="S46" s="113"/>
      <c r="T46" s="134"/>
      <c r="U46" s="133"/>
    </row>
    <row r="47" spans="2:21">
      <c r="B47" s="18"/>
      <c r="C47" s="141" t="s">
        <v>176</v>
      </c>
      <c r="D47" s="141">
        <v>80</v>
      </c>
      <c r="E47" s="142">
        <f>SQRT($E$22/2950)*D47</f>
        <v>79.979251546673666</v>
      </c>
      <c r="F47" s="142">
        <f>SQRT($N$21/2950)*D47</f>
        <v>75.732553509154499</v>
      </c>
      <c r="G47" s="18"/>
      <c r="H47" s="18"/>
      <c r="I47" s="18"/>
      <c r="J47" s="147" t="s">
        <v>177</v>
      </c>
      <c r="K47" s="148">
        <v>89</v>
      </c>
      <c r="L47" s="149">
        <f>SQRT($E$22/2950)*K47</f>
        <v>88.976917345674451</v>
      </c>
      <c r="M47" s="149">
        <f>L47-1.3</f>
        <v>87.676917345674454</v>
      </c>
      <c r="N47" s="149">
        <f>M47-1.3</f>
        <v>86.376917345674457</v>
      </c>
      <c r="O47" s="149">
        <f>N47-1.3</f>
        <v>85.07691734567446</v>
      </c>
      <c r="P47" s="149">
        <f>O47-1.3</f>
        <v>83.776917345674462</v>
      </c>
      <c r="Q47" s="146"/>
      <c r="R47" s="28"/>
      <c r="S47" s="113"/>
      <c r="T47" s="134"/>
      <c r="U47" s="133"/>
    </row>
    <row r="48" spans="2:21">
      <c r="B48" s="18"/>
      <c r="C48" s="147" t="s">
        <v>178</v>
      </c>
      <c r="D48" s="147">
        <v>57</v>
      </c>
      <c r="E48" s="150">
        <f>SQRT($E$22/2950)*D48</f>
        <v>56.985216727004989</v>
      </c>
      <c r="F48" s="150">
        <f>SQRT($N$21/2950)*D48</f>
        <v>53.959444375272582</v>
      </c>
      <c r="G48" s="18"/>
      <c r="H48" s="18"/>
      <c r="I48" s="18"/>
      <c r="J48" s="18"/>
      <c r="K48" s="18"/>
      <c r="L48" s="18" t="s">
        <v>179</v>
      </c>
      <c r="M48" s="18"/>
      <c r="N48" s="18"/>
      <c r="O48" s="18"/>
      <c r="P48" s="18"/>
      <c r="Q48" s="18"/>
      <c r="R48" s="28"/>
      <c r="S48" s="113"/>
      <c r="T48" s="134"/>
      <c r="U48" s="133"/>
    </row>
    <row r="49" spans="2:21">
      <c r="B49" s="18"/>
      <c r="C49" s="151" t="s">
        <v>180</v>
      </c>
      <c r="D49" s="151">
        <v>64</v>
      </c>
      <c r="E49" s="152">
        <f>SQRT($E$22/2950)*D49</f>
        <v>63.983401237338931</v>
      </c>
      <c r="F49" s="152">
        <f>SQRT($N$21/2950)*D49</f>
        <v>60.586042807323601</v>
      </c>
      <c r="G49" s="18"/>
      <c r="H49" s="18"/>
      <c r="I49" s="18"/>
      <c r="J49" s="143" t="s">
        <v>175</v>
      </c>
      <c r="K49" s="144">
        <v>60</v>
      </c>
      <c r="L49" s="145">
        <f>SQRT($N$21/2950)*K49</f>
        <v>56.799415131865878</v>
      </c>
      <c r="M49" s="145">
        <f>L49+1.08</f>
        <v>57.879415131865876</v>
      </c>
      <c r="N49" s="145">
        <f>M49+1.08</f>
        <v>58.959415131865875</v>
      </c>
      <c r="O49" s="145">
        <f>N49+1.08</f>
        <v>60.039415131865873</v>
      </c>
      <c r="P49" s="145">
        <f>O49+1.08</f>
        <v>61.119415131865871</v>
      </c>
      <c r="Q49" s="146"/>
      <c r="R49" s="28"/>
      <c r="S49" s="113"/>
      <c r="T49" s="134"/>
      <c r="U49" s="133"/>
    </row>
    <row r="50" spans="2:21">
      <c r="B50" s="144"/>
      <c r="C50" s="143" t="s">
        <v>181</v>
      </c>
      <c r="D50" s="153">
        <v>69</v>
      </c>
      <c r="E50" s="153">
        <f>SQRT($E$22/2950)*D50</f>
        <v>68.982104459006038</v>
      </c>
      <c r="F50" s="153">
        <f>SQRT($N$21/2950)*D50</f>
        <v>65.319327401645751</v>
      </c>
      <c r="G50" s="18"/>
      <c r="H50" s="18"/>
      <c r="I50" s="18"/>
      <c r="J50" s="147" t="s">
        <v>177</v>
      </c>
      <c r="K50" s="148">
        <v>89</v>
      </c>
      <c r="L50" s="149">
        <f>SQRT($N$21/2950)*K50</f>
        <v>84.252465778934379</v>
      </c>
      <c r="M50" s="149">
        <f>L50-1.3</f>
        <v>82.952465778934382</v>
      </c>
      <c r="N50" s="149">
        <f>M50-1.3</f>
        <v>81.652465778934385</v>
      </c>
      <c r="O50" s="149">
        <f>N50-1.3</f>
        <v>80.352465778934388</v>
      </c>
      <c r="P50" s="149">
        <f>O50-1.3</f>
        <v>79.052465778934391</v>
      </c>
      <c r="Q50" s="18"/>
      <c r="R50" s="28"/>
      <c r="S50" s="113"/>
      <c r="T50" s="134"/>
      <c r="U50" s="133"/>
    </row>
    <row r="51" spans="2:21">
      <c r="B51" s="18"/>
      <c r="C51" s="18"/>
      <c r="D51" s="18"/>
      <c r="E51" s="18"/>
      <c r="F51" s="18"/>
      <c r="G51" s="18"/>
      <c r="H51" s="18"/>
      <c r="I51" s="18"/>
      <c r="J51" s="18"/>
      <c r="K51" s="18"/>
      <c r="L51" s="28"/>
      <c r="M51" s="28"/>
      <c r="N51" s="28"/>
      <c r="O51" s="30"/>
      <c r="P51" s="30"/>
      <c r="Q51" s="28"/>
      <c r="R51" s="28"/>
      <c r="S51" s="113"/>
      <c r="T51" s="134"/>
      <c r="U51" s="133"/>
    </row>
    <row r="52" spans="2:21">
      <c r="B52" s="27"/>
      <c r="C52" s="28"/>
      <c r="D52" s="18"/>
      <c r="E52" s="18"/>
      <c r="F52" s="29"/>
      <c r="G52" s="18"/>
      <c r="H52" s="29"/>
      <c r="I52" s="28"/>
      <c r="J52" s="28"/>
      <c r="K52" s="28"/>
      <c r="L52" s="28"/>
      <c r="M52" s="28"/>
      <c r="N52" s="133"/>
      <c r="O52" s="30"/>
      <c r="P52" s="30"/>
      <c r="Q52" s="28"/>
      <c r="R52" s="28"/>
      <c r="S52" s="113"/>
      <c r="T52" s="134"/>
      <c r="U52" s="133"/>
    </row>
    <row r="53" spans="2:21">
      <c r="B53" s="27"/>
      <c r="C53" s="28"/>
      <c r="D53" s="18"/>
      <c r="E53" s="18"/>
      <c r="F53" s="29"/>
      <c r="G53" s="18"/>
      <c r="H53" s="29"/>
      <c r="I53" s="28"/>
      <c r="J53" s="28"/>
      <c r="K53" s="28"/>
      <c r="L53" s="28"/>
      <c r="M53" s="28"/>
      <c r="N53" s="28"/>
      <c r="O53" s="30"/>
      <c r="P53" s="30"/>
      <c r="Q53" s="28"/>
      <c r="R53" s="28"/>
      <c r="S53" s="113"/>
      <c r="T53" s="134"/>
      <c r="U53" s="133"/>
    </row>
    <row r="54" spans="2:21">
      <c r="B54" s="27"/>
      <c r="C54" s="28"/>
      <c r="D54" s="18"/>
      <c r="E54" s="18"/>
      <c r="F54" s="29"/>
      <c r="G54" s="18"/>
      <c r="H54" s="29"/>
      <c r="I54" s="28"/>
      <c r="J54" s="28"/>
      <c r="K54" s="28"/>
      <c r="L54" s="28"/>
      <c r="M54" s="28"/>
      <c r="N54" s="28"/>
      <c r="O54" s="30"/>
      <c r="P54" s="30"/>
      <c r="Q54" s="28"/>
      <c r="R54" s="28"/>
      <c r="S54" s="113"/>
      <c r="T54" s="134"/>
      <c r="U54" s="133"/>
    </row>
    <row r="55" spans="2:21">
      <c r="B55" s="27"/>
      <c r="C55" s="28"/>
      <c r="D55" s="18"/>
      <c r="E55" s="18"/>
      <c r="F55" s="29"/>
      <c r="G55" s="18"/>
      <c r="H55" s="29"/>
      <c r="I55" s="28"/>
      <c r="J55" s="28"/>
      <c r="K55" s="28"/>
      <c r="L55" s="28"/>
      <c r="M55" s="28"/>
      <c r="N55" s="28"/>
      <c r="O55" s="30"/>
      <c r="P55" s="30"/>
      <c r="Q55" s="28"/>
      <c r="R55" s="28"/>
      <c r="S55" s="113"/>
      <c r="T55" s="134"/>
      <c r="U55" s="133"/>
    </row>
    <row r="56" spans="2:21">
      <c r="B56" s="27"/>
      <c r="C56" s="28"/>
      <c r="D56" s="18"/>
      <c r="E56" s="18"/>
      <c r="F56" s="29"/>
      <c r="G56" s="18"/>
      <c r="H56" s="29"/>
      <c r="I56" s="28"/>
      <c r="J56" s="28"/>
      <c r="K56" s="28"/>
      <c r="L56" s="28"/>
      <c r="M56" s="28"/>
      <c r="N56" s="28"/>
      <c r="O56" s="30"/>
      <c r="P56" s="30"/>
      <c r="Q56" s="28"/>
      <c r="R56" s="28"/>
      <c r="S56" s="113"/>
      <c r="T56" s="134"/>
      <c r="U56" s="133"/>
    </row>
    <row r="57" spans="2:21">
      <c r="B57" s="27"/>
      <c r="C57" s="28"/>
      <c r="D57" s="18"/>
      <c r="E57" s="18"/>
      <c r="F57" s="29"/>
      <c r="G57" s="18"/>
      <c r="H57" s="29"/>
      <c r="I57" s="28"/>
      <c r="J57" s="28"/>
      <c r="K57" s="28"/>
      <c r="L57" s="28"/>
      <c r="M57" s="28"/>
      <c r="N57" s="28"/>
      <c r="O57" s="30"/>
      <c r="P57" s="30"/>
      <c r="Q57" s="28"/>
      <c r="R57" s="28"/>
      <c r="S57" s="113"/>
      <c r="T57" s="134"/>
      <c r="U57" s="133"/>
    </row>
    <row r="58" spans="2:21">
      <c r="B58" s="27"/>
      <c r="C58" s="28"/>
      <c r="D58" s="18"/>
      <c r="E58" s="18"/>
      <c r="F58" s="29"/>
      <c r="G58" s="18"/>
      <c r="H58" s="29"/>
      <c r="I58" s="28"/>
      <c r="J58" s="28"/>
      <c r="K58" s="28"/>
      <c r="L58" s="28"/>
      <c r="M58" s="28"/>
      <c r="N58" s="28"/>
      <c r="O58" s="30"/>
      <c r="P58" s="30"/>
      <c r="Q58" s="28"/>
      <c r="R58" s="28"/>
      <c r="S58" s="113"/>
      <c r="T58" s="134"/>
      <c r="U58" s="133"/>
    </row>
    <row r="59" spans="2:21">
      <c r="B59" s="27"/>
      <c r="C59" s="28"/>
      <c r="D59" s="18"/>
      <c r="E59" s="18"/>
      <c r="F59" s="29"/>
      <c r="G59" s="18"/>
      <c r="H59" s="29"/>
      <c r="I59" s="28"/>
      <c r="J59" s="28"/>
      <c r="K59" s="28"/>
      <c r="L59" s="28"/>
      <c r="M59" s="28"/>
      <c r="N59" s="28"/>
      <c r="O59" s="30"/>
      <c r="P59" s="30"/>
      <c r="Q59" s="28"/>
      <c r="R59" s="28"/>
      <c r="S59" s="113"/>
      <c r="T59" s="134"/>
      <c r="U59" s="133"/>
    </row>
    <row r="60" spans="2:21">
      <c r="B60" s="27"/>
      <c r="C60" s="28"/>
      <c r="D60" s="18"/>
      <c r="E60" s="18"/>
      <c r="F60" s="29"/>
      <c r="G60" s="18"/>
      <c r="H60" s="29"/>
      <c r="I60" s="28"/>
      <c r="J60" s="28"/>
      <c r="K60" s="28"/>
      <c r="L60" s="28"/>
      <c r="M60" s="28"/>
      <c r="N60" s="28"/>
      <c r="O60" s="30"/>
      <c r="P60" s="30"/>
      <c r="Q60" s="28"/>
      <c r="R60" s="28"/>
      <c r="S60" s="113"/>
      <c r="T60" s="134"/>
      <c r="U60" s="133"/>
    </row>
    <row r="61" spans="2:21">
      <c r="B61" s="27"/>
      <c r="C61" s="28"/>
      <c r="D61" s="18"/>
      <c r="E61" s="18"/>
      <c r="F61" s="29"/>
      <c r="G61" s="18"/>
      <c r="H61" s="29"/>
      <c r="I61" s="28"/>
      <c r="J61" s="28"/>
      <c r="K61" s="28"/>
      <c r="L61" s="28"/>
      <c r="M61" s="28"/>
      <c r="N61" s="28"/>
      <c r="O61" s="30"/>
      <c r="P61" s="30"/>
      <c r="Q61" s="28"/>
      <c r="R61" s="28"/>
      <c r="S61" s="113"/>
      <c r="T61" s="134"/>
      <c r="U61" s="133"/>
    </row>
    <row r="62" spans="2:21">
      <c r="B62" s="27"/>
      <c r="C62" s="28"/>
      <c r="D62" s="18"/>
      <c r="E62" s="18"/>
      <c r="F62" s="29"/>
      <c r="G62" s="18"/>
      <c r="H62" s="29"/>
      <c r="I62" s="28"/>
      <c r="J62" s="28"/>
      <c r="K62" s="28"/>
      <c r="L62" s="28"/>
      <c r="M62" s="28"/>
      <c r="N62" s="28"/>
      <c r="O62" s="30"/>
      <c r="P62" s="30"/>
      <c r="Q62" s="28"/>
      <c r="R62" s="28"/>
      <c r="S62" s="113"/>
      <c r="T62" s="134"/>
      <c r="U62" s="133"/>
    </row>
    <row r="63" spans="2:21">
      <c r="B63" s="27"/>
      <c r="C63" s="28"/>
      <c r="D63" s="18"/>
      <c r="E63" s="18"/>
      <c r="F63" s="29"/>
      <c r="G63" s="18"/>
      <c r="H63" s="29"/>
      <c r="I63" s="28"/>
      <c r="J63" s="28"/>
      <c r="K63" s="28"/>
      <c r="L63" s="28"/>
      <c r="M63" s="28"/>
      <c r="N63" s="28"/>
      <c r="O63" s="30"/>
      <c r="P63" s="30"/>
      <c r="Q63" s="28"/>
      <c r="R63" s="28"/>
      <c r="S63" s="113"/>
      <c r="T63" s="134"/>
      <c r="U63" s="133"/>
    </row>
    <row r="64" spans="2:21">
      <c r="B64" s="27"/>
      <c r="C64" s="28"/>
      <c r="D64" s="18"/>
      <c r="E64" s="18"/>
      <c r="F64" s="29"/>
      <c r="G64" s="18"/>
      <c r="H64" s="29"/>
      <c r="I64" s="28"/>
      <c r="J64" s="28"/>
      <c r="K64" s="28"/>
      <c r="L64" s="28"/>
      <c r="M64" s="28"/>
      <c r="N64" s="28"/>
      <c r="O64" s="30"/>
      <c r="P64" s="30"/>
      <c r="Q64" s="28"/>
      <c r="R64" s="28"/>
      <c r="S64" s="113"/>
      <c r="T64" s="134"/>
      <c r="U64" s="133"/>
    </row>
    <row r="65" spans="2:21">
      <c r="B65" s="27"/>
      <c r="C65" s="28"/>
      <c r="D65" s="18"/>
      <c r="E65" s="18"/>
      <c r="F65" s="29"/>
      <c r="G65" s="18"/>
      <c r="H65" s="29"/>
      <c r="I65" s="28"/>
      <c r="J65" s="28"/>
      <c r="K65" s="28"/>
      <c r="L65" s="28"/>
      <c r="M65" s="28"/>
      <c r="N65" s="28"/>
      <c r="O65" s="30"/>
      <c r="P65" s="30"/>
      <c r="Q65" s="28"/>
      <c r="R65" s="28"/>
      <c r="S65" s="113"/>
      <c r="T65" s="134"/>
      <c r="U65" s="133"/>
    </row>
    <row r="66" spans="2:21">
      <c r="B66" s="27"/>
      <c r="C66" s="28"/>
      <c r="D66" s="18"/>
      <c r="E66" s="18"/>
      <c r="F66" s="29"/>
      <c r="G66" s="18"/>
      <c r="H66" s="29"/>
      <c r="I66" s="28"/>
      <c r="J66" s="28"/>
      <c r="K66" s="28"/>
      <c r="L66" s="28"/>
      <c r="M66" s="28"/>
      <c r="N66" s="28"/>
      <c r="O66" s="30"/>
      <c r="P66" s="30"/>
      <c r="Q66" s="28"/>
      <c r="R66" s="28"/>
      <c r="S66" s="113"/>
      <c r="T66" s="134"/>
      <c r="U66" s="133"/>
    </row>
    <row r="67" spans="2:21">
      <c r="B67" s="27"/>
      <c r="C67" s="28"/>
      <c r="D67" s="18"/>
      <c r="E67" s="18"/>
      <c r="F67" s="29"/>
      <c r="G67" s="18"/>
      <c r="H67" s="29"/>
      <c r="I67" s="28"/>
      <c r="J67" s="28"/>
      <c r="K67" s="28"/>
      <c r="L67" s="28"/>
      <c r="M67" s="28"/>
      <c r="N67" s="28"/>
      <c r="O67" s="30"/>
      <c r="P67" s="30"/>
      <c r="Q67" s="28"/>
      <c r="R67" s="28"/>
      <c r="S67" s="113"/>
      <c r="T67" s="134"/>
      <c r="U67" s="133"/>
    </row>
    <row r="68" spans="2:21">
      <c r="B68" s="27"/>
      <c r="C68" s="28"/>
      <c r="D68" s="18"/>
      <c r="E68" s="18"/>
      <c r="F68" s="29"/>
      <c r="G68" s="18"/>
      <c r="H68" s="29"/>
      <c r="I68" s="28"/>
      <c r="J68" s="28"/>
      <c r="K68" s="28"/>
      <c r="L68" s="28"/>
      <c r="M68" s="28"/>
      <c r="N68" s="28"/>
      <c r="O68" s="30"/>
      <c r="P68" s="30"/>
      <c r="Q68" s="28"/>
      <c r="R68" s="28"/>
      <c r="S68" s="113"/>
      <c r="T68" s="134"/>
      <c r="U68" s="133"/>
    </row>
    <row r="69" spans="2:21">
      <c r="B69" s="27"/>
      <c r="C69" s="28"/>
      <c r="D69" s="18"/>
      <c r="E69" s="18"/>
      <c r="F69" s="29"/>
      <c r="G69" s="18"/>
      <c r="H69" s="29"/>
      <c r="I69" s="28"/>
      <c r="J69" s="28"/>
      <c r="K69" s="28"/>
      <c r="L69" s="28"/>
      <c r="M69" s="28"/>
      <c r="N69" s="28"/>
      <c r="O69" s="30"/>
      <c r="P69" s="30"/>
      <c r="Q69" s="28"/>
      <c r="R69" s="28"/>
      <c r="S69" s="113"/>
      <c r="T69" s="134"/>
      <c r="U69" s="133"/>
    </row>
    <row r="70" spans="2:21">
      <c r="B70" s="27"/>
      <c r="C70" s="28"/>
      <c r="D70" s="18"/>
      <c r="E70" s="18"/>
      <c r="F70" s="29"/>
      <c r="G70" s="18"/>
      <c r="H70" s="29"/>
      <c r="I70" s="28"/>
      <c r="J70" s="28"/>
      <c r="K70" s="28"/>
      <c r="L70" s="28"/>
      <c r="M70" s="28"/>
      <c r="N70" s="28"/>
      <c r="O70" s="30"/>
      <c r="P70" s="30"/>
      <c r="Q70" s="28"/>
      <c r="R70" s="28"/>
      <c r="S70" s="113"/>
      <c r="T70" s="134"/>
      <c r="U70" s="133"/>
    </row>
    <row r="71" spans="2:21">
      <c r="B71" s="27"/>
      <c r="C71" s="28"/>
      <c r="D71" s="18"/>
      <c r="E71" s="18"/>
      <c r="F71" s="29"/>
      <c r="G71" s="18"/>
      <c r="H71" s="29"/>
      <c r="I71" s="28"/>
      <c r="J71" s="28"/>
      <c r="K71" s="28"/>
      <c r="L71" s="28"/>
      <c r="M71" s="28"/>
      <c r="N71" s="28"/>
      <c r="O71" s="30"/>
      <c r="P71" s="30"/>
      <c r="Q71" s="28"/>
      <c r="R71" s="28"/>
      <c r="S71" s="113"/>
      <c r="T71" s="134"/>
      <c r="U71" s="133"/>
    </row>
    <row r="72" spans="2:21">
      <c r="B72" s="27"/>
      <c r="C72" s="28"/>
      <c r="D72" s="18"/>
      <c r="E72" s="18"/>
      <c r="F72" s="29"/>
      <c r="G72" s="18"/>
      <c r="H72" s="29"/>
      <c r="I72" s="28"/>
      <c r="J72" s="28"/>
      <c r="K72" s="28"/>
      <c r="L72" s="28"/>
      <c r="M72" s="28"/>
      <c r="N72" s="28"/>
      <c r="O72" s="30"/>
      <c r="P72" s="30"/>
      <c r="Q72" s="28"/>
      <c r="R72" s="28"/>
      <c r="S72" s="113"/>
      <c r="T72" s="134"/>
      <c r="U72" s="133"/>
    </row>
    <row r="73" spans="2:21">
      <c r="B73" s="27"/>
      <c r="C73" s="28"/>
      <c r="D73" s="18"/>
      <c r="E73" s="18"/>
      <c r="F73" s="29"/>
      <c r="G73" s="18"/>
      <c r="H73" s="29"/>
      <c r="I73" s="28"/>
      <c r="J73" s="28"/>
      <c r="K73" s="28"/>
      <c r="L73" s="28"/>
      <c r="M73" s="28"/>
      <c r="N73" s="28"/>
      <c r="O73" s="30"/>
      <c r="P73" s="30"/>
      <c r="Q73" s="28"/>
      <c r="R73" s="28"/>
      <c r="S73" s="113"/>
      <c r="T73" s="134"/>
      <c r="U73" s="133"/>
    </row>
    <row r="74" spans="2:21">
      <c r="B74" s="27"/>
      <c r="C74" s="28"/>
      <c r="D74" s="18"/>
      <c r="E74" s="18"/>
      <c r="F74" s="29"/>
      <c r="G74" s="18"/>
      <c r="H74" s="29"/>
      <c r="I74" s="28"/>
      <c r="J74" s="28"/>
      <c r="K74" s="28"/>
      <c r="L74" s="28"/>
      <c r="M74" s="28"/>
      <c r="N74" s="28"/>
      <c r="O74" s="30"/>
      <c r="P74" s="30"/>
      <c r="Q74" s="28"/>
      <c r="R74" s="28"/>
      <c r="S74" s="113"/>
      <c r="T74" s="134"/>
      <c r="U74" s="133"/>
    </row>
    <row r="75" spans="2:21">
      <c r="B75" s="27"/>
      <c r="C75" s="28"/>
      <c r="D75" s="18"/>
      <c r="E75" s="18"/>
      <c r="F75" s="29"/>
      <c r="G75" s="18"/>
      <c r="H75" s="29"/>
      <c r="I75" s="28"/>
      <c r="J75" s="28"/>
      <c r="K75" s="28"/>
      <c r="L75" s="28"/>
      <c r="M75" s="28"/>
      <c r="N75" s="28"/>
      <c r="O75" s="30"/>
      <c r="P75" s="30"/>
      <c r="Q75" s="28"/>
      <c r="R75" s="28"/>
      <c r="S75" s="113"/>
      <c r="T75" s="134"/>
      <c r="U75" s="133"/>
    </row>
    <row r="76" spans="2:21">
      <c r="B76" s="27"/>
      <c r="C76" s="28"/>
      <c r="D76" s="18"/>
      <c r="E76" s="18"/>
      <c r="F76" s="29"/>
      <c r="G76" s="18"/>
      <c r="H76" s="29"/>
      <c r="I76" s="28"/>
      <c r="J76" s="28"/>
      <c r="K76" s="28"/>
      <c r="L76" s="28"/>
      <c r="M76" s="28"/>
      <c r="N76" s="28"/>
      <c r="O76" s="30"/>
      <c r="P76" s="30"/>
      <c r="Q76" s="28"/>
      <c r="R76" s="28"/>
      <c r="S76" s="113"/>
      <c r="T76" s="134"/>
      <c r="U76" s="133"/>
    </row>
    <row r="77" spans="2:21">
      <c r="B77" s="27"/>
      <c r="C77" s="28"/>
      <c r="D77" s="18"/>
      <c r="E77" s="18"/>
      <c r="F77" s="29"/>
      <c r="G77" s="18"/>
      <c r="H77" s="29"/>
      <c r="I77" s="28"/>
      <c r="J77" s="28"/>
      <c r="K77" s="28"/>
      <c r="L77" s="28"/>
      <c r="M77" s="28"/>
      <c r="N77" s="28"/>
      <c r="O77" s="30"/>
      <c r="P77" s="30"/>
      <c r="Q77" s="28"/>
      <c r="R77" s="28"/>
      <c r="S77" s="113"/>
      <c r="T77" s="134"/>
      <c r="U77" s="133"/>
    </row>
    <row r="78" spans="2:21">
      <c r="B78" s="27"/>
      <c r="C78" s="28"/>
      <c r="D78" s="18"/>
      <c r="E78" s="18"/>
      <c r="F78" s="29"/>
      <c r="G78" s="18"/>
      <c r="H78" s="29"/>
      <c r="I78" s="28"/>
      <c r="J78" s="28"/>
      <c r="K78" s="28"/>
      <c r="L78" s="28"/>
      <c r="M78" s="28"/>
      <c r="N78" s="28"/>
      <c r="O78" s="30"/>
      <c r="P78" s="30"/>
      <c r="Q78" s="28"/>
      <c r="R78" s="28"/>
      <c r="S78" s="113"/>
      <c r="T78" s="134"/>
      <c r="U78" s="133"/>
    </row>
    <row r="79" spans="2:21">
      <c r="B79" s="27"/>
      <c r="C79" s="28"/>
      <c r="D79" s="18"/>
      <c r="E79" s="18"/>
      <c r="F79" s="29"/>
      <c r="G79" s="18"/>
      <c r="H79" s="29"/>
      <c r="I79" s="28"/>
      <c r="J79" s="28"/>
      <c r="K79" s="28"/>
      <c r="L79" s="28"/>
      <c r="M79" s="28"/>
      <c r="N79" s="28"/>
      <c r="O79" s="30"/>
      <c r="P79" s="30"/>
      <c r="Q79" s="28"/>
      <c r="R79" s="28"/>
      <c r="S79" s="113"/>
      <c r="T79" s="134"/>
      <c r="U79" s="133"/>
    </row>
    <row r="80" spans="2:21">
      <c r="B80" s="27"/>
      <c r="C80" s="28"/>
      <c r="D80" s="18"/>
      <c r="E80" s="18"/>
      <c r="F80" s="29"/>
      <c r="G80" s="18"/>
      <c r="H80" s="29"/>
      <c r="I80" s="28"/>
      <c r="J80" s="28"/>
      <c r="K80" s="28"/>
      <c r="L80" s="28"/>
      <c r="M80" s="28"/>
      <c r="N80" s="28"/>
      <c r="O80" s="30"/>
      <c r="P80" s="30"/>
      <c r="Q80" s="28"/>
      <c r="R80" s="28"/>
      <c r="S80" s="113"/>
      <c r="T80" s="134"/>
      <c r="U80" s="133"/>
    </row>
    <row r="81" spans="2:21">
      <c r="B81" s="27"/>
      <c r="C81" s="28"/>
      <c r="D81" s="18"/>
      <c r="E81" s="18"/>
      <c r="F81" s="29"/>
      <c r="G81" s="18"/>
      <c r="H81" s="29"/>
      <c r="I81" s="28"/>
      <c r="J81" s="28"/>
      <c r="K81" s="28"/>
      <c r="L81" s="28"/>
      <c r="M81" s="28"/>
      <c r="N81" s="28"/>
      <c r="O81" s="30"/>
      <c r="P81" s="30"/>
      <c r="Q81" s="28"/>
      <c r="R81" s="28"/>
      <c r="S81" s="113"/>
      <c r="T81" s="134"/>
      <c r="U81" s="133"/>
    </row>
    <row r="82" spans="2:21">
      <c r="B82" s="27"/>
      <c r="C82" s="28"/>
      <c r="D82" s="18"/>
      <c r="E82" s="18"/>
      <c r="F82" s="29"/>
      <c r="G82" s="18"/>
      <c r="H82" s="29"/>
      <c r="I82" s="28"/>
      <c r="J82" s="28"/>
      <c r="K82" s="28"/>
      <c r="L82" s="28"/>
      <c r="M82" s="28"/>
      <c r="N82" s="28"/>
      <c r="O82" s="30"/>
      <c r="P82" s="30"/>
      <c r="Q82" s="28"/>
      <c r="R82" s="28"/>
      <c r="S82" s="113"/>
      <c r="T82" s="134"/>
      <c r="U82" s="133"/>
    </row>
    <row r="83" spans="2:21">
      <c r="B83" s="27"/>
      <c r="C83" s="28"/>
      <c r="D83" s="18"/>
      <c r="E83" s="18"/>
      <c r="F83" s="29"/>
      <c r="G83" s="18"/>
      <c r="H83" s="29"/>
      <c r="I83" s="28"/>
      <c r="J83" s="28"/>
      <c r="K83" s="28"/>
      <c r="L83" s="28"/>
      <c r="M83" s="28"/>
      <c r="N83" s="28"/>
      <c r="O83" s="30"/>
      <c r="P83" s="30"/>
      <c r="Q83" s="28"/>
      <c r="R83" s="28"/>
      <c r="S83" s="113"/>
      <c r="T83" s="134"/>
      <c r="U83" s="133"/>
    </row>
    <row r="84" spans="2:21">
      <c r="B84" s="27"/>
      <c r="C84" s="28"/>
      <c r="D84" s="18"/>
      <c r="E84" s="18"/>
      <c r="F84" s="29"/>
      <c r="G84" s="18"/>
      <c r="H84" s="29"/>
      <c r="I84" s="28"/>
      <c r="J84" s="28"/>
      <c r="K84" s="28"/>
      <c r="L84" s="28"/>
      <c r="M84" s="28"/>
      <c r="N84" s="28"/>
      <c r="O84" s="30"/>
      <c r="P84" s="30"/>
      <c r="Q84" s="28"/>
      <c r="R84" s="28"/>
      <c r="S84" s="113"/>
      <c r="T84" s="134"/>
      <c r="U84" s="133"/>
    </row>
    <row r="85" spans="2:21">
      <c r="B85" s="27"/>
      <c r="C85" s="28"/>
      <c r="D85" s="18"/>
      <c r="E85" s="18"/>
      <c r="F85" s="29"/>
      <c r="G85" s="18"/>
      <c r="H85" s="29"/>
      <c r="I85" s="28"/>
      <c r="J85" s="28"/>
      <c r="K85" s="28"/>
      <c r="L85" s="28"/>
      <c r="M85" s="28"/>
      <c r="N85" s="28"/>
      <c r="O85" s="30"/>
      <c r="P85" s="30"/>
      <c r="Q85" s="28"/>
      <c r="R85" s="28"/>
      <c r="S85" s="113"/>
      <c r="T85" s="134"/>
      <c r="U85" s="133"/>
    </row>
    <row r="86" spans="2:21">
      <c r="B86" s="27"/>
      <c r="C86" s="28"/>
      <c r="D86" s="18"/>
      <c r="E86" s="18"/>
      <c r="F86" s="29"/>
      <c r="G86" s="18"/>
      <c r="H86" s="29"/>
      <c r="I86" s="28"/>
      <c r="J86" s="28"/>
      <c r="K86" s="28"/>
      <c r="L86" s="28"/>
      <c r="M86" s="28"/>
      <c r="N86" s="28"/>
      <c r="O86" s="30"/>
      <c r="P86" s="30"/>
      <c r="Q86" s="28"/>
      <c r="R86" s="28"/>
      <c r="S86" s="113"/>
      <c r="T86" s="134"/>
      <c r="U86" s="133"/>
    </row>
    <row r="87" spans="2:21">
      <c r="B87" s="27"/>
      <c r="C87" s="28"/>
      <c r="D87" s="18"/>
      <c r="E87" s="18"/>
      <c r="F87" s="29"/>
      <c r="G87" s="18"/>
      <c r="H87" s="29"/>
      <c r="I87" s="28"/>
      <c r="J87" s="28"/>
      <c r="K87" s="28"/>
      <c r="L87" s="28"/>
      <c r="M87" s="28"/>
      <c r="N87" s="28"/>
      <c r="O87" s="30"/>
      <c r="P87" s="30"/>
      <c r="Q87" s="28"/>
      <c r="R87" s="28"/>
      <c r="S87" s="113"/>
      <c r="T87" s="134"/>
      <c r="U87" s="133"/>
    </row>
    <row r="88" spans="2:21">
      <c r="B88" s="27"/>
      <c r="C88" s="28"/>
      <c r="D88" s="18"/>
      <c r="E88" s="18"/>
      <c r="F88" s="29"/>
      <c r="G88" s="18"/>
      <c r="H88" s="29"/>
      <c r="I88" s="28"/>
      <c r="J88" s="28"/>
      <c r="K88" s="28"/>
      <c r="L88" s="28"/>
      <c r="M88" s="28"/>
      <c r="N88" s="28"/>
      <c r="O88" s="30"/>
      <c r="P88" s="30"/>
      <c r="Q88" s="28"/>
      <c r="R88" s="28"/>
      <c r="S88" s="113"/>
      <c r="T88" s="134"/>
      <c r="U88" s="133"/>
    </row>
    <row r="89" spans="2:21">
      <c r="B89" s="27"/>
      <c r="C89" s="28"/>
      <c r="D89" s="18"/>
      <c r="E89" s="18"/>
      <c r="F89" s="29"/>
      <c r="G89" s="18"/>
      <c r="H89" s="29"/>
      <c r="I89" s="28"/>
      <c r="J89" s="28"/>
      <c r="K89" s="28"/>
      <c r="L89" s="28"/>
      <c r="M89" s="28"/>
      <c r="N89" s="28"/>
      <c r="O89" s="30"/>
      <c r="P89" s="30"/>
      <c r="Q89" s="28"/>
      <c r="R89" s="28"/>
      <c r="S89" s="113"/>
      <c r="T89" s="134"/>
      <c r="U89" s="133"/>
    </row>
    <row r="90" spans="2:21">
      <c r="B90" s="27"/>
      <c r="C90" s="28"/>
      <c r="D90" s="18"/>
      <c r="E90" s="18"/>
      <c r="F90" s="29"/>
      <c r="G90" s="18"/>
      <c r="H90" s="29"/>
      <c r="I90" s="28"/>
      <c r="J90" s="28"/>
      <c r="K90" s="28"/>
      <c r="L90" s="28"/>
      <c r="M90" s="28"/>
      <c r="N90" s="28"/>
      <c r="O90" s="30"/>
      <c r="P90" s="30"/>
      <c r="Q90" s="28"/>
      <c r="R90" s="28"/>
      <c r="S90" s="113"/>
      <c r="T90" s="134"/>
      <c r="U90" s="133"/>
    </row>
    <row r="91" spans="2:21">
      <c r="B91" s="27"/>
      <c r="C91" s="28"/>
      <c r="D91" s="18"/>
      <c r="E91" s="18"/>
      <c r="F91" s="29"/>
      <c r="G91" s="18"/>
      <c r="H91" s="29"/>
      <c r="I91" s="28"/>
      <c r="J91" s="28"/>
      <c r="K91" s="28"/>
      <c r="L91" s="28"/>
      <c r="M91" s="28"/>
      <c r="N91" s="28"/>
      <c r="O91" s="30"/>
      <c r="P91" s="30"/>
      <c r="Q91" s="28"/>
      <c r="R91" s="28"/>
      <c r="S91" s="113"/>
      <c r="T91" s="134"/>
      <c r="U91" s="133"/>
    </row>
    <row r="92" spans="2:21">
      <c r="B92" s="27"/>
      <c r="C92" s="28"/>
      <c r="D92" s="18"/>
      <c r="E92" s="18"/>
      <c r="F92" s="29"/>
      <c r="G92" s="18"/>
      <c r="H92" s="29"/>
      <c r="I92" s="28"/>
      <c r="J92" s="28"/>
      <c r="K92" s="28"/>
      <c r="L92" s="28"/>
      <c r="M92" s="28"/>
      <c r="N92" s="28"/>
      <c r="O92" s="30"/>
      <c r="P92" s="30"/>
      <c r="Q92" s="28"/>
      <c r="R92" s="28"/>
      <c r="S92" s="113"/>
      <c r="T92" s="134"/>
      <c r="U92" s="133"/>
    </row>
    <row r="93" spans="2:21">
      <c r="B93" s="27"/>
      <c r="C93" s="28"/>
      <c r="D93" s="18"/>
      <c r="E93" s="18"/>
      <c r="F93" s="29"/>
      <c r="G93" s="18"/>
      <c r="H93" s="29"/>
      <c r="I93" s="28"/>
      <c r="J93" s="28"/>
      <c r="K93" s="28"/>
      <c r="L93" s="28"/>
      <c r="M93" s="28"/>
      <c r="N93" s="28"/>
      <c r="O93" s="30"/>
      <c r="P93" s="30"/>
      <c r="Q93" s="28"/>
      <c r="R93" s="28"/>
      <c r="S93" s="113"/>
      <c r="T93" s="134"/>
      <c r="U93" s="133"/>
    </row>
    <row r="94" spans="2:21">
      <c r="B94" s="27"/>
      <c r="C94" s="28"/>
      <c r="D94" s="18"/>
      <c r="E94" s="18"/>
      <c r="F94" s="29"/>
      <c r="G94" s="18"/>
      <c r="H94" s="29"/>
      <c r="I94" s="28"/>
      <c r="J94" s="28"/>
      <c r="K94" s="28"/>
      <c r="L94" s="28"/>
      <c r="M94" s="28"/>
      <c r="N94" s="28"/>
      <c r="O94" s="30"/>
      <c r="P94" s="30"/>
      <c r="Q94" s="28"/>
      <c r="R94" s="28"/>
      <c r="S94" s="113"/>
      <c r="T94" s="134"/>
      <c r="U94" s="133"/>
    </row>
    <row r="95" spans="2:21">
      <c r="B95" s="27"/>
      <c r="C95" s="28"/>
      <c r="D95" s="18"/>
      <c r="E95" s="18"/>
      <c r="F95" s="29"/>
      <c r="G95" s="18"/>
      <c r="H95" s="29"/>
      <c r="I95" s="28"/>
      <c r="J95" s="28"/>
      <c r="K95" s="28"/>
      <c r="L95" s="28"/>
      <c r="M95" s="28"/>
      <c r="N95" s="28"/>
      <c r="O95" s="30"/>
      <c r="P95" s="30"/>
      <c r="Q95" s="28"/>
      <c r="R95" s="28"/>
      <c r="S95" s="113"/>
      <c r="T95" s="134"/>
      <c r="U95" s="133"/>
    </row>
    <row r="96" spans="2:21">
      <c r="B96" s="27"/>
      <c r="C96" s="28"/>
      <c r="D96" s="18"/>
      <c r="E96" s="18"/>
      <c r="F96" s="29"/>
      <c r="G96" s="18"/>
      <c r="H96" s="29"/>
      <c r="I96" s="28"/>
      <c r="J96" s="28"/>
      <c r="K96" s="28"/>
      <c r="L96" s="28"/>
      <c r="M96" s="28"/>
      <c r="N96" s="28"/>
      <c r="O96" s="30"/>
      <c r="P96" s="30"/>
      <c r="Q96" s="28"/>
      <c r="R96" s="28"/>
      <c r="S96" s="113"/>
      <c r="T96" s="134"/>
      <c r="U96" s="133"/>
    </row>
    <row r="97" spans="2:21">
      <c r="B97" s="27"/>
      <c r="C97" s="28"/>
      <c r="D97" s="18"/>
      <c r="E97" s="18"/>
      <c r="F97" s="29"/>
      <c r="G97" s="18"/>
      <c r="H97" s="29"/>
      <c r="I97" s="28"/>
      <c r="J97" s="28"/>
      <c r="K97" s="28"/>
      <c r="L97" s="28"/>
      <c r="M97" s="28"/>
      <c r="N97" s="28"/>
      <c r="O97" s="30"/>
      <c r="P97" s="30"/>
      <c r="Q97" s="28"/>
      <c r="R97" s="28"/>
      <c r="S97" s="113"/>
      <c r="T97" s="134"/>
      <c r="U97" s="133"/>
    </row>
    <row r="98" spans="2:21">
      <c r="B98" s="27"/>
      <c r="C98" s="28"/>
      <c r="D98" s="18"/>
      <c r="E98" s="18"/>
      <c r="F98" s="29"/>
      <c r="G98" s="18"/>
      <c r="H98" s="29"/>
      <c r="I98" s="28"/>
      <c r="J98" s="28"/>
      <c r="K98" s="28"/>
      <c r="L98" s="28"/>
      <c r="M98" s="28"/>
      <c r="N98" s="28"/>
      <c r="O98" s="30"/>
      <c r="P98" s="30"/>
      <c r="Q98" s="28"/>
      <c r="R98" s="28"/>
      <c r="S98" s="113"/>
      <c r="T98" s="134"/>
      <c r="U98" s="133"/>
    </row>
    <row r="99" spans="2:21">
      <c r="B99" s="27"/>
      <c r="C99" s="28"/>
      <c r="D99" s="18"/>
      <c r="E99" s="18"/>
      <c r="F99" s="29"/>
      <c r="G99" s="18"/>
      <c r="H99" s="29"/>
      <c r="I99" s="28"/>
      <c r="J99" s="28"/>
      <c r="K99" s="28"/>
      <c r="L99" s="28"/>
      <c r="M99" s="28"/>
      <c r="N99" s="28"/>
      <c r="O99" s="30"/>
      <c r="P99" s="30"/>
      <c r="Q99" s="28"/>
      <c r="R99" s="28"/>
      <c r="S99" s="113"/>
      <c r="T99" s="134"/>
      <c r="U99" s="133"/>
    </row>
    <row r="100" spans="2:21">
      <c r="B100" s="27"/>
      <c r="C100" s="28"/>
      <c r="D100" s="18"/>
      <c r="E100" s="18"/>
      <c r="F100" s="29"/>
      <c r="G100" s="18"/>
      <c r="H100" s="29"/>
      <c r="I100" s="28"/>
      <c r="J100" s="28"/>
      <c r="K100" s="28"/>
      <c r="L100" s="28"/>
      <c r="M100" s="28"/>
      <c r="N100" s="28"/>
      <c r="O100" s="30"/>
      <c r="P100" s="30"/>
      <c r="Q100" s="28"/>
      <c r="R100" s="28"/>
      <c r="S100" s="113"/>
      <c r="T100" s="134"/>
      <c r="U100" s="133"/>
    </row>
    <row r="101" spans="2:21">
      <c r="B101" s="27"/>
      <c r="C101" s="28"/>
      <c r="D101" s="18"/>
      <c r="E101" s="18"/>
      <c r="F101" s="29"/>
      <c r="G101" s="18"/>
      <c r="H101" s="29"/>
      <c r="I101" s="28"/>
      <c r="J101" s="28"/>
      <c r="K101" s="28"/>
      <c r="L101" s="28"/>
      <c r="M101" s="28"/>
      <c r="N101" s="28"/>
      <c r="O101" s="30"/>
      <c r="P101" s="30"/>
      <c r="Q101" s="28"/>
      <c r="R101" s="28"/>
      <c r="S101" s="113"/>
      <c r="T101" s="134"/>
      <c r="U101" s="133"/>
    </row>
    <row r="102" spans="2:21">
      <c r="B102" s="27"/>
      <c r="C102" s="28"/>
      <c r="D102" s="18"/>
      <c r="E102" s="18"/>
      <c r="F102" s="29"/>
      <c r="G102" s="18"/>
      <c r="H102" s="29"/>
      <c r="I102" s="28"/>
      <c r="J102" s="28"/>
      <c r="K102" s="28"/>
      <c r="L102" s="28"/>
      <c r="M102" s="28"/>
      <c r="N102" s="28"/>
      <c r="O102" s="30"/>
      <c r="P102" s="30"/>
      <c r="Q102" s="28"/>
      <c r="R102" s="28"/>
      <c r="S102" s="113"/>
      <c r="T102" s="134"/>
      <c r="U102" s="133"/>
    </row>
    <row r="103" spans="2:21">
      <c r="B103" s="27"/>
      <c r="C103" s="28"/>
      <c r="D103" s="18"/>
      <c r="E103" s="18"/>
      <c r="F103" s="29"/>
      <c r="G103" s="18"/>
      <c r="H103" s="29"/>
      <c r="I103" s="28"/>
      <c r="J103" s="28"/>
      <c r="K103" s="28"/>
      <c r="L103" s="28"/>
      <c r="M103" s="28"/>
      <c r="N103" s="28"/>
      <c r="O103" s="30"/>
      <c r="P103" s="30"/>
      <c r="Q103" s="28"/>
      <c r="R103" s="28"/>
      <c r="S103" s="113"/>
      <c r="T103" s="134"/>
      <c r="U103" s="133"/>
    </row>
    <row r="104" spans="2:21">
      <c r="B104" s="27"/>
      <c r="C104" s="28"/>
      <c r="D104" s="18"/>
      <c r="E104" s="18"/>
      <c r="F104" s="29"/>
      <c r="G104" s="18"/>
      <c r="H104" s="29"/>
      <c r="I104" s="28"/>
      <c r="J104" s="28"/>
      <c r="K104" s="28"/>
      <c r="L104" s="28"/>
      <c r="M104" s="28"/>
      <c r="N104" s="28"/>
      <c r="O104" s="30"/>
      <c r="P104" s="30"/>
      <c r="Q104" s="28"/>
      <c r="R104" s="28"/>
      <c r="S104" s="113"/>
      <c r="T104" s="134"/>
      <c r="U104" s="133"/>
    </row>
    <row r="105" spans="2:21">
      <c r="B105" s="27"/>
      <c r="C105" s="28"/>
      <c r="D105" s="18"/>
      <c r="E105" s="18"/>
      <c r="F105" s="29"/>
      <c r="G105" s="18"/>
      <c r="H105" s="29"/>
      <c r="I105" s="28"/>
      <c r="J105" s="28"/>
      <c r="K105" s="28"/>
      <c r="L105" s="28"/>
      <c r="M105" s="28"/>
      <c r="N105" s="28"/>
      <c r="O105" s="30"/>
      <c r="P105" s="30"/>
      <c r="Q105" s="28"/>
      <c r="R105" s="28"/>
      <c r="S105" s="113"/>
      <c r="T105" s="134"/>
      <c r="U105" s="133"/>
    </row>
    <row r="106" spans="2:21">
      <c r="B106" s="27"/>
      <c r="C106" s="28"/>
      <c r="D106" s="18"/>
      <c r="E106" s="18"/>
      <c r="F106" s="29"/>
      <c r="G106" s="18"/>
      <c r="H106" s="29"/>
      <c r="I106" s="28"/>
      <c r="J106" s="28"/>
      <c r="K106" s="28"/>
      <c r="L106" s="28"/>
      <c r="M106" s="28"/>
      <c r="N106" s="28"/>
      <c r="O106" s="30"/>
      <c r="P106" s="30"/>
      <c r="Q106" s="28"/>
      <c r="R106" s="28"/>
      <c r="S106" s="113"/>
      <c r="T106" s="134"/>
      <c r="U106" s="133"/>
    </row>
    <row r="107" spans="2:21">
      <c r="B107" s="27"/>
      <c r="C107" s="28"/>
      <c r="D107" s="18"/>
      <c r="E107" s="18"/>
      <c r="F107" s="29"/>
      <c r="G107" s="18"/>
      <c r="H107" s="29"/>
      <c r="I107" s="28"/>
      <c r="J107" s="28"/>
      <c r="K107" s="28"/>
      <c r="L107" s="28"/>
      <c r="M107" s="28"/>
      <c r="N107" s="28"/>
      <c r="O107" s="30"/>
      <c r="P107" s="30"/>
      <c r="Q107" s="28"/>
      <c r="R107" s="28"/>
      <c r="S107" s="113"/>
      <c r="T107" s="134"/>
      <c r="U107" s="133"/>
    </row>
    <row r="108" spans="2:21">
      <c r="B108" s="27"/>
      <c r="C108" s="28"/>
      <c r="D108" s="18"/>
      <c r="E108" s="18"/>
      <c r="F108" s="29"/>
      <c r="G108" s="18"/>
      <c r="H108" s="29"/>
      <c r="I108" s="28"/>
      <c r="J108" s="28"/>
      <c r="K108" s="28"/>
      <c r="L108" s="28"/>
      <c r="M108" s="28"/>
      <c r="N108" s="28"/>
      <c r="O108" s="30"/>
      <c r="P108" s="30"/>
      <c r="Q108" s="28"/>
      <c r="R108" s="28"/>
      <c r="S108" s="113"/>
      <c r="T108" s="134"/>
      <c r="U108" s="133"/>
    </row>
    <row r="109" spans="2:21">
      <c r="B109" s="27"/>
      <c r="C109" s="28"/>
      <c r="D109" s="18"/>
      <c r="E109" s="18"/>
      <c r="F109" s="29"/>
      <c r="G109" s="18"/>
      <c r="H109" s="29"/>
      <c r="I109" s="28"/>
      <c r="J109" s="28"/>
      <c r="K109" s="28"/>
      <c r="L109" s="28"/>
      <c r="M109" s="28"/>
      <c r="N109" s="28"/>
      <c r="O109" s="30"/>
      <c r="P109" s="30"/>
      <c r="Q109" s="28"/>
      <c r="R109" s="28"/>
      <c r="S109" s="113"/>
      <c r="T109" s="134"/>
      <c r="U109" s="133"/>
    </row>
    <row r="110" spans="2:21">
      <c r="B110" s="27"/>
      <c r="C110" s="28"/>
      <c r="D110" s="18"/>
      <c r="E110" s="18"/>
      <c r="F110" s="29"/>
      <c r="G110" s="18"/>
      <c r="H110" s="29"/>
      <c r="I110" s="28"/>
      <c r="J110" s="28"/>
      <c r="K110" s="28"/>
      <c r="L110" s="28"/>
      <c r="M110" s="28"/>
      <c r="N110" s="28"/>
      <c r="O110" s="30"/>
      <c r="P110" s="30"/>
      <c r="Q110" s="28"/>
      <c r="R110" s="28"/>
      <c r="S110" s="113"/>
      <c r="T110" s="134"/>
      <c r="U110" s="133"/>
    </row>
    <row r="111" spans="2:21">
      <c r="B111" s="27"/>
      <c r="C111" s="28"/>
      <c r="D111" s="18"/>
      <c r="E111" s="18"/>
      <c r="F111" s="29"/>
      <c r="G111" s="18"/>
      <c r="H111" s="29"/>
      <c r="I111" s="28"/>
      <c r="J111" s="28"/>
      <c r="K111" s="28"/>
      <c r="L111" s="28"/>
      <c r="M111" s="28"/>
      <c r="N111" s="28"/>
      <c r="O111" s="30"/>
      <c r="P111" s="30"/>
      <c r="Q111" s="28"/>
      <c r="R111" s="28"/>
      <c r="S111" s="113"/>
      <c r="T111" s="134"/>
      <c r="U111" s="133"/>
    </row>
    <row r="112" spans="2:21">
      <c r="B112" s="27"/>
      <c r="C112" s="28"/>
      <c r="D112" s="18"/>
      <c r="E112" s="18"/>
      <c r="F112" s="29"/>
      <c r="G112" s="18"/>
      <c r="H112" s="29"/>
      <c r="I112" s="28"/>
      <c r="J112" s="28"/>
      <c r="K112" s="28"/>
      <c r="L112" s="28"/>
      <c r="M112" s="28"/>
      <c r="N112" s="28"/>
      <c r="O112" s="30"/>
      <c r="P112" s="30"/>
      <c r="Q112" s="28"/>
      <c r="R112" s="28"/>
      <c r="S112" s="113"/>
      <c r="T112" s="134"/>
      <c r="U112" s="133"/>
    </row>
    <row r="113" spans="2:21">
      <c r="B113" s="27"/>
      <c r="C113" s="28"/>
      <c r="D113" s="18"/>
      <c r="E113" s="18"/>
      <c r="F113" s="29"/>
      <c r="G113" s="18"/>
      <c r="H113" s="29"/>
      <c r="I113" s="28"/>
      <c r="J113" s="28"/>
      <c r="K113" s="28"/>
      <c r="L113" s="28"/>
      <c r="M113" s="28"/>
      <c r="N113" s="28"/>
      <c r="O113" s="30"/>
      <c r="P113" s="30"/>
      <c r="Q113" s="28"/>
      <c r="R113" s="28"/>
      <c r="S113" s="113"/>
      <c r="T113" s="134"/>
      <c r="U113" s="133"/>
    </row>
    <row r="114" spans="2:21">
      <c r="B114" s="27"/>
      <c r="C114" s="28"/>
      <c r="D114" s="18"/>
      <c r="E114" s="18"/>
      <c r="F114" s="29"/>
      <c r="G114" s="18"/>
      <c r="H114" s="29"/>
      <c r="I114" s="28"/>
      <c r="J114" s="28"/>
      <c r="K114" s="28"/>
      <c r="L114" s="28"/>
      <c r="M114" s="28"/>
      <c r="N114" s="28"/>
      <c r="O114" s="30"/>
      <c r="P114" s="30"/>
      <c r="Q114" s="28"/>
      <c r="R114" s="28"/>
      <c r="S114" s="113"/>
      <c r="T114" s="134"/>
      <c r="U114" s="133"/>
    </row>
    <row r="115" spans="2:21">
      <c r="B115" s="27"/>
      <c r="C115" s="28"/>
      <c r="D115" s="18"/>
      <c r="E115" s="18"/>
      <c r="F115" s="29"/>
      <c r="G115" s="18"/>
      <c r="H115" s="29"/>
      <c r="I115" s="28"/>
      <c r="J115" s="28"/>
      <c r="K115" s="28"/>
      <c r="L115" s="28"/>
      <c r="M115" s="28"/>
      <c r="N115" s="28"/>
      <c r="O115" s="30"/>
      <c r="P115" s="30"/>
      <c r="Q115" s="28"/>
      <c r="R115" s="28"/>
      <c r="S115" s="113"/>
      <c r="T115" s="134"/>
      <c r="U115" s="133"/>
    </row>
    <row r="116" spans="2:21">
      <c r="B116" s="27"/>
      <c r="C116" s="28"/>
      <c r="D116" s="18"/>
      <c r="E116" s="18"/>
      <c r="F116" s="29"/>
      <c r="G116" s="18"/>
      <c r="H116" s="29"/>
      <c r="I116" s="28"/>
      <c r="J116" s="28"/>
      <c r="K116" s="28"/>
      <c r="L116" s="28"/>
      <c r="M116" s="28"/>
      <c r="N116" s="28"/>
      <c r="O116" s="30"/>
      <c r="P116" s="30"/>
      <c r="Q116" s="28"/>
      <c r="R116" s="28"/>
      <c r="S116" s="113"/>
      <c r="T116" s="134"/>
      <c r="U116" s="133"/>
    </row>
    <row r="117" spans="2:21">
      <c r="B117" s="27"/>
      <c r="C117" s="28"/>
      <c r="D117" s="18"/>
      <c r="E117" s="18"/>
      <c r="F117" s="29"/>
      <c r="G117" s="18"/>
      <c r="H117" s="29"/>
      <c r="I117" s="28"/>
      <c r="J117" s="28"/>
      <c r="K117" s="28"/>
      <c r="L117" s="28"/>
      <c r="M117" s="28"/>
      <c r="N117" s="28"/>
      <c r="O117" s="30"/>
      <c r="P117" s="30"/>
      <c r="Q117" s="28"/>
      <c r="R117" s="28"/>
      <c r="S117" s="113"/>
      <c r="T117" s="134"/>
      <c r="U117" s="133"/>
    </row>
    <row r="118" spans="2:21">
      <c r="B118" s="27"/>
      <c r="C118" s="28"/>
      <c r="D118" s="18"/>
      <c r="E118" s="18"/>
      <c r="F118" s="29"/>
      <c r="G118" s="18"/>
      <c r="H118" s="29"/>
      <c r="I118" s="28"/>
      <c r="J118" s="28"/>
      <c r="K118" s="28"/>
      <c r="L118" s="28"/>
      <c r="M118" s="28"/>
      <c r="N118" s="28"/>
      <c r="O118" s="30"/>
      <c r="P118" s="30"/>
      <c r="Q118" s="28"/>
      <c r="R118" s="28"/>
      <c r="S118" s="113"/>
      <c r="T118" s="134"/>
      <c r="U118" s="133"/>
    </row>
    <row r="119" spans="2:21">
      <c r="B119" s="27"/>
      <c r="C119" s="28"/>
      <c r="D119" s="18"/>
      <c r="E119" s="18"/>
      <c r="F119" s="29"/>
      <c r="G119" s="18"/>
      <c r="H119" s="29"/>
      <c r="I119" s="28"/>
      <c r="J119" s="28"/>
      <c r="K119" s="28"/>
      <c r="L119" s="28"/>
      <c r="M119" s="28"/>
      <c r="N119" s="28"/>
      <c r="O119" s="30"/>
      <c r="P119" s="30"/>
      <c r="Q119" s="28"/>
      <c r="R119" s="28"/>
      <c r="U119" s="133"/>
    </row>
    <row r="120" spans="2:21">
      <c r="B120" s="27"/>
      <c r="C120" s="28"/>
      <c r="D120" s="18"/>
      <c r="E120" s="18"/>
      <c r="F120" s="29"/>
      <c r="G120" s="18"/>
      <c r="H120" s="29"/>
      <c r="I120" s="28"/>
      <c r="J120" s="28"/>
      <c r="K120" s="28"/>
      <c r="L120" s="28"/>
      <c r="M120" s="28"/>
      <c r="N120" s="28"/>
      <c r="O120" s="30"/>
      <c r="P120" s="30"/>
    </row>
    <row r="121" spans="2:21">
      <c r="B121" s="27"/>
      <c r="C121" s="28"/>
      <c r="D121" s="18"/>
      <c r="E121" s="18"/>
      <c r="F121" s="29"/>
      <c r="G121" s="18"/>
      <c r="H121" s="29"/>
      <c r="I121" s="28"/>
      <c r="J121" s="28"/>
      <c r="K121" s="28"/>
      <c r="L121" s="28"/>
      <c r="M121" s="28"/>
      <c r="N121" s="28"/>
      <c r="O121" s="30"/>
      <c r="P121" s="30"/>
    </row>
    <row r="122" spans="2:21">
      <c r="B122" s="27"/>
      <c r="C122" s="28"/>
      <c r="D122" s="18"/>
      <c r="E122" s="18"/>
      <c r="F122" s="29"/>
      <c r="G122" s="18"/>
      <c r="H122" s="29"/>
      <c r="I122" s="28"/>
      <c r="J122" s="28"/>
      <c r="K122" s="28"/>
      <c r="L122" s="28"/>
      <c r="M122" s="28"/>
      <c r="N122" s="28"/>
      <c r="O122" s="30"/>
      <c r="P122" s="30"/>
    </row>
    <row r="123" spans="2:21">
      <c r="B123" s="27"/>
      <c r="C123" s="28"/>
      <c r="D123" s="18"/>
      <c r="E123" s="18"/>
      <c r="F123" s="29"/>
      <c r="G123" s="18"/>
      <c r="H123" s="29"/>
      <c r="I123" s="28"/>
      <c r="J123" s="28"/>
      <c r="K123" s="28"/>
      <c r="L123" s="28"/>
      <c r="M123" s="28"/>
      <c r="N123" s="28"/>
      <c r="O123" s="30"/>
    </row>
    <row r="124" spans="2:21">
      <c r="B124" s="27"/>
      <c r="C124" s="28"/>
      <c r="D124" s="18"/>
      <c r="E124" s="18"/>
      <c r="F124" s="29"/>
      <c r="G124" s="18"/>
      <c r="H124" s="29"/>
      <c r="I124" s="28"/>
      <c r="J124" s="28"/>
      <c r="K124" s="28"/>
      <c r="L124" s="28"/>
      <c r="M124" s="28"/>
      <c r="N124" s="28"/>
      <c r="O124" s="30"/>
    </row>
    <row r="125" spans="2:21">
      <c r="B125" s="27"/>
      <c r="C125" s="28"/>
      <c r="D125" s="18"/>
      <c r="E125" s="18"/>
      <c r="F125" s="29"/>
      <c r="G125" s="18"/>
    </row>
    <row r="126" spans="2:21">
      <c r="B126" s="27"/>
      <c r="C126" s="28"/>
      <c r="D126" s="18"/>
      <c r="E126" s="18"/>
      <c r="F126" s="29"/>
    </row>
  </sheetData>
  <sheetProtection sheet="1" selectLockedCells="1"/>
  <mergeCells count="4">
    <mergeCell ref="AA6:AB6"/>
    <mergeCell ref="AD6:AE6"/>
    <mergeCell ref="B13:D13"/>
    <mergeCell ref="K13:M13"/>
  </mergeCells>
  <phoneticPr fontId="15" type="noConversion"/>
  <printOptions horizontalCentered="1"/>
  <pageMargins left="0.1701388888888889" right="0.4597222222222222" top="0.3298611111111111" bottom="0.72013888888888888" header="0.51180555555555551" footer="0.51180555555555551"/>
  <pageSetup scale="99" firstPageNumber="0" orientation="landscape" horizontalDpi="300" verticalDpi="30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127"/>
  <sheetViews>
    <sheetView showGridLines="0" showRowColHeaders="0" showZeros="0" showOutlineSymbols="0" zoomScale="186" zoomScaleNormal="186" workbookViewId="0">
      <selection activeCell="E19" sqref="E19"/>
    </sheetView>
  </sheetViews>
  <sheetFormatPr baseColWidth="10" defaultColWidth="8" defaultRowHeight="11"/>
  <cols>
    <col min="1" max="1" width="8" style="18" customWidth="1"/>
    <col min="2" max="2" width="8.1640625" style="19" customWidth="1"/>
    <col min="3" max="3" width="6.6640625" style="20" customWidth="1"/>
    <col min="4" max="5" width="6.6640625" style="21" customWidth="1"/>
    <col min="6" max="6" width="6.6640625" style="22" customWidth="1"/>
    <col min="7" max="7" width="6.6640625" style="21" customWidth="1"/>
    <col min="8" max="8" width="6.6640625" style="22" customWidth="1"/>
    <col min="9" max="9" width="6.6640625" style="20" customWidth="1"/>
    <col min="10" max="10" width="9.6640625" style="20" customWidth="1"/>
    <col min="11" max="11" width="6.6640625" style="20" customWidth="1"/>
    <col min="12" max="12" width="5.6640625" style="20" customWidth="1"/>
    <col min="13" max="13" width="6.6640625" style="20" customWidth="1"/>
    <col min="14" max="14" width="8.6640625" style="20" customWidth="1"/>
    <col min="15" max="16" width="6.6640625" style="23" customWidth="1"/>
    <col min="17" max="17" width="5.5" style="20" customWidth="1"/>
    <col min="18" max="18" width="7.33203125" style="20" customWidth="1"/>
    <col min="19" max="19" width="6.33203125" style="24" customWidth="1"/>
    <col min="20" max="20" width="6.1640625" style="25" customWidth="1"/>
    <col min="21" max="21" width="6.5" style="26" customWidth="1"/>
    <col min="22" max="31" width="8" style="18" customWidth="1"/>
    <col min="32" max="16384" width="8" style="18"/>
  </cols>
  <sheetData>
    <row r="1" spans="1:29" s="31" customFormat="1" ht="13" thickBot="1">
      <c r="A1" s="18"/>
      <c r="B1" s="27"/>
      <c r="C1" s="28"/>
      <c r="D1" s="18"/>
      <c r="E1" s="18"/>
      <c r="F1" s="29"/>
      <c r="G1" s="18"/>
      <c r="H1" s="29"/>
      <c r="I1" s="28"/>
      <c r="J1" s="28"/>
      <c r="K1" s="28"/>
      <c r="L1" s="28"/>
      <c r="M1" s="28"/>
      <c r="N1" s="28"/>
      <c r="O1" s="30"/>
      <c r="P1" s="30"/>
      <c r="Q1" s="28"/>
      <c r="R1" s="28"/>
      <c r="S1" s="32"/>
      <c r="T1" s="32"/>
      <c r="U1" s="33"/>
      <c r="V1" s="34"/>
    </row>
    <row r="2" spans="1:29" s="31" customFormat="1" ht="16" thickTop="1" thickBot="1">
      <c r="B2" s="36" t="s">
        <v>116</v>
      </c>
      <c r="C2" s="37"/>
      <c r="D2" s="38"/>
      <c r="E2" s="38"/>
      <c r="F2" s="39"/>
      <c r="G2" s="38"/>
      <c r="H2" s="38"/>
      <c r="I2" s="39"/>
      <c r="J2" s="38"/>
      <c r="K2" s="39"/>
      <c r="L2" s="37"/>
      <c r="M2" s="37"/>
      <c r="N2" s="37"/>
      <c r="O2" s="40"/>
      <c r="Q2" s="165"/>
      <c r="R2"/>
      <c r="S2" s="55"/>
      <c r="T2" s="32"/>
      <c r="U2" s="32"/>
      <c r="V2" s="33"/>
    </row>
    <row r="3" spans="1:29" s="31" customFormat="1" ht="15" thickBot="1">
      <c r="B3" s="41"/>
      <c r="C3" s="42" t="s">
        <v>118</v>
      </c>
      <c r="D3" s="43" t="s">
        <v>77</v>
      </c>
      <c r="E3" s="44"/>
      <c r="F3" s="45" t="s">
        <v>119</v>
      </c>
      <c r="G3" s="46" t="s">
        <v>198</v>
      </c>
      <c r="H3" s="44"/>
      <c r="I3" s="45" t="s">
        <v>121</v>
      </c>
      <c r="J3" s="47"/>
      <c r="K3" s="48"/>
      <c r="L3" s="49" t="s">
        <v>122</v>
      </c>
      <c r="M3" s="50"/>
      <c r="N3" s="48" t="s">
        <v>123</v>
      </c>
      <c r="O3" s="51"/>
      <c r="Q3" s="165" t="s">
        <v>115</v>
      </c>
      <c r="R3"/>
      <c r="S3" s="54"/>
      <c r="T3" s="35"/>
      <c r="U3" s="35"/>
    </row>
    <row r="4" spans="1:29" s="31" customFormat="1" ht="16" thickTop="1" thickBot="1">
      <c r="F4" s="52"/>
      <c r="J4" s="53"/>
      <c r="K4" s="54"/>
      <c r="L4" s="55"/>
      <c r="M4" s="53"/>
      <c r="N4" s="54"/>
      <c r="O4" s="56"/>
      <c r="Q4" s="165" t="s">
        <v>199</v>
      </c>
      <c r="R4"/>
      <c r="S4" s="54"/>
      <c r="T4" s="35"/>
      <c r="U4" s="35"/>
    </row>
    <row r="5" spans="1:29" s="31" customFormat="1" ht="16" thickTop="1" thickBot="1">
      <c r="B5" s="169" t="s">
        <v>200</v>
      </c>
      <c r="C5" s="57"/>
      <c r="D5" s="57"/>
      <c r="E5" s="58"/>
      <c r="F5" s="250">
        <v>40</v>
      </c>
      <c r="N5" s="35"/>
      <c r="O5" s="32"/>
      <c r="Q5" s="165" t="s">
        <v>201</v>
      </c>
      <c r="R5"/>
      <c r="S5" s="81"/>
      <c r="Y5" s="36" t="s">
        <v>202</v>
      </c>
      <c r="Z5" s="37"/>
      <c r="AA5" s="38"/>
      <c r="AB5" s="38"/>
      <c r="AC5" s="40"/>
    </row>
    <row r="6" spans="1:29" s="31" customFormat="1" ht="14">
      <c r="B6" s="169" t="s">
        <v>129</v>
      </c>
      <c r="C6" s="57"/>
      <c r="D6" s="57"/>
      <c r="E6" s="58"/>
      <c r="F6" s="250">
        <v>3</v>
      </c>
      <c r="G6" s="32" t="s">
        <v>130</v>
      </c>
      <c r="J6" s="59" t="s">
        <v>131</v>
      </c>
      <c r="K6" s="60"/>
      <c r="L6" s="61"/>
      <c r="M6" s="62"/>
      <c r="N6" s="35"/>
      <c r="O6" s="32"/>
      <c r="Q6" s="165" t="s">
        <v>125</v>
      </c>
      <c r="R6"/>
      <c r="S6" s="81"/>
      <c r="Y6" s="270" t="s">
        <v>133</v>
      </c>
      <c r="Z6" s="270"/>
      <c r="AA6" s="63"/>
      <c r="AB6" s="271" t="s">
        <v>134</v>
      </c>
      <c r="AC6" s="271"/>
    </row>
    <row r="7" spans="1:29" s="31" customFormat="1" ht="14">
      <c r="B7" s="169" t="s">
        <v>135</v>
      </c>
      <c r="C7" s="57"/>
      <c r="D7" s="57"/>
      <c r="E7" s="58"/>
      <c r="F7" s="251">
        <f>Front_Passengers+Rear_Passengers+Baggage_1+Baggage_2</f>
        <v>795</v>
      </c>
      <c r="G7" s="32"/>
      <c r="J7" s="252" t="s">
        <v>136</v>
      </c>
      <c r="K7" s="253"/>
      <c r="L7" s="254"/>
      <c r="M7" s="255">
        <v>2550</v>
      </c>
      <c r="N7" s="35"/>
      <c r="O7" s="32"/>
      <c r="Q7" s="165" t="s">
        <v>203</v>
      </c>
      <c r="R7"/>
      <c r="S7" s="81"/>
      <c r="Y7" s="64" t="s">
        <v>138</v>
      </c>
      <c r="Z7" s="65" t="s">
        <v>139</v>
      </c>
      <c r="AA7" s="66"/>
      <c r="AB7" s="67" t="s">
        <v>140</v>
      </c>
      <c r="AC7" s="68" t="s">
        <v>139</v>
      </c>
    </row>
    <row r="8" spans="1:29" s="31" customFormat="1" ht="15" thickBot="1">
      <c r="B8" s="166" t="s">
        <v>204</v>
      </c>
      <c r="C8" s="57"/>
      <c r="D8" s="256"/>
      <c r="E8" s="257"/>
      <c r="F8" s="251">
        <f>(Departure_Fuel)/10.1</f>
        <v>3.8613861386138617</v>
      </c>
      <c r="G8" s="32" t="s">
        <v>130</v>
      </c>
      <c r="J8" s="258" t="s">
        <v>142</v>
      </c>
      <c r="K8" s="69"/>
      <c r="L8" s="70"/>
      <c r="M8" s="259">
        <f>Total_Departure_Weight</f>
        <v>2549.9699999999998</v>
      </c>
      <c r="N8" s="71">
        <f>M8/M7</f>
        <v>0.99998823529411762</v>
      </c>
      <c r="O8" s="32" t="s">
        <v>143</v>
      </c>
      <c r="Q8" s="165" t="s">
        <v>205</v>
      </c>
      <c r="R8"/>
      <c r="S8" s="81"/>
      <c r="Y8" s="72">
        <v>52</v>
      </c>
      <c r="Z8" s="73">
        <v>1500</v>
      </c>
      <c r="AA8" s="74"/>
      <c r="AB8" s="84">
        <v>35</v>
      </c>
      <c r="AC8" s="76">
        <f>Z8</f>
        <v>1500</v>
      </c>
    </row>
    <row r="9" spans="1:29" s="31" customFormat="1" ht="15" thickTop="1" thickBot="1">
      <c r="B9" s="166" t="s">
        <v>145</v>
      </c>
      <c r="C9" s="57"/>
      <c r="D9" s="256"/>
      <c r="E9" s="257"/>
      <c r="F9" s="260">
        <f>F8-F6</f>
        <v>0.86138613861386171</v>
      </c>
      <c r="G9" s="32" t="s">
        <v>130</v>
      </c>
      <c r="J9" s="261" t="s">
        <v>146</v>
      </c>
      <c r="K9" s="77"/>
      <c r="L9" s="78"/>
      <c r="M9" s="79">
        <f>M7-M8</f>
        <v>3.0000000000200089E-2</v>
      </c>
      <c r="N9" s="35"/>
      <c r="O9" s="32"/>
      <c r="Q9" s="165" t="s">
        <v>206</v>
      </c>
      <c r="S9" s="81"/>
      <c r="Y9" s="72">
        <v>67</v>
      </c>
      <c r="Z9" s="73">
        <v>1950</v>
      </c>
      <c r="AA9" s="74"/>
      <c r="AB9" s="84">
        <v>35</v>
      </c>
      <c r="AC9" s="76">
        <f>Z9</f>
        <v>1950</v>
      </c>
    </row>
    <row r="10" spans="1:29" s="31" customFormat="1" ht="15" thickTop="1" thickBot="1">
      <c r="B10" s="167" t="s">
        <v>207</v>
      </c>
      <c r="C10" s="18"/>
      <c r="D10" s="262"/>
      <c r="E10" s="263"/>
      <c r="F10" s="264"/>
      <c r="G10" s="32"/>
      <c r="J10" s="265"/>
      <c r="K10" s="28"/>
      <c r="L10" s="18"/>
      <c r="M10" s="154"/>
      <c r="N10" s="35"/>
      <c r="O10" s="32"/>
      <c r="Q10" s="165" t="s">
        <v>208</v>
      </c>
      <c r="S10" s="81"/>
      <c r="Y10" s="72">
        <v>104</v>
      </c>
      <c r="Z10" s="73">
        <v>2550</v>
      </c>
      <c r="AA10" s="74"/>
      <c r="AB10" s="84">
        <v>41</v>
      </c>
      <c r="AC10" s="76">
        <f>Z10</f>
        <v>2550</v>
      </c>
    </row>
    <row r="11" spans="1:29" s="31" customFormat="1" ht="14" thickTop="1" thickBot="1">
      <c r="B11" s="93"/>
      <c r="C11" s="32"/>
      <c r="D11" s="32"/>
      <c r="G11" s="54"/>
      <c r="I11" s="54"/>
      <c r="J11" s="32"/>
      <c r="K11" s="32"/>
      <c r="L11" s="32"/>
      <c r="M11" s="32"/>
      <c r="O11" s="82"/>
      <c r="Q11" s="81"/>
      <c r="S11" s="81"/>
      <c r="Y11" s="72">
        <v>120</v>
      </c>
      <c r="Z11" s="73">
        <v>2550</v>
      </c>
      <c r="AA11" s="74"/>
      <c r="AB11" s="84">
        <v>47.3</v>
      </c>
      <c r="AC11" s="76">
        <f>Z11</f>
        <v>2550</v>
      </c>
    </row>
    <row r="12" spans="1:29" s="31" customFormat="1" ht="14" thickTop="1" thickBot="1">
      <c r="B12" s="36" t="s">
        <v>148</v>
      </c>
      <c r="C12" s="37"/>
      <c r="D12" s="38"/>
      <c r="E12" s="38"/>
      <c r="F12" s="39"/>
      <c r="G12" s="40"/>
      <c r="J12" s="36" t="s">
        <v>149</v>
      </c>
      <c r="K12" s="37"/>
      <c r="L12" s="38"/>
      <c r="M12" s="38"/>
      <c r="N12" s="39"/>
      <c r="O12" s="40"/>
      <c r="Q12" s="83"/>
      <c r="R12" s="31" t="s">
        <v>150</v>
      </c>
      <c r="S12" s="81"/>
      <c r="Y12" s="72">
        <v>71</v>
      </c>
      <c r="Z12" s="73">
        <v>1500</v>
      </c>
      <c r="AA12" s="74"/>
      <c r="AB12" s="84">
        <v>47.3</v>
      </c>
      <c r="AC12" s="76">
        <f>Z12</f>
        <v>1500</v>
      </c>
    </row>
    <row r="13" spans="1:29" s="31" customFormat="1" ht="12.75" customHeight="1" thickTop="1">
      <c r="B13" s="272" t="s">
        <v>151</v>
      </c>
      <c r="C13" s="272"/>
      <c r="D13" s="272"/>
      <c r="E13" s="86" t="s">
        <v>139</v>
      </c>
      <c r="F13" s="88" t="s">
        <v>152</v>
      </c>
      <c r="G13" s="89" t="s">
        <v>138</v>
      </c>
      <c r="J13" s="272" t="s">
        <v>151</v>
      </c>
      <c r="K13" s="272"/>
      <c r="L13" s="272"/>
      <c r="M13" s="86" t="s">
        <v>139</v>
      </c>
      <c r="N13" s="88" t="s">
        <v>152</v>
      </c>
      <c r="O13" s="89" t="s">
        <v>138</v>
      </c>
      <c r="P13" s="81"/>
      <c r="S13" s="81"/>
      <c r="Y13" s="90" t="s">
        <v>209</v>
      </c>
      <c r="Z13" s="90"/>
      <c r="AA13" s="90"/>
    </row>
    <row r="14" spans="1:29" s="31" customFormat="1" ht="13" thickBot="1">
      <c r="B14" s="91"/>
      <c r="C14" s="32"/>
      <c r="E14" s="92" t="s">
        <v>153</v>
      </c>
      <c r="F14" s="94" t="s">
        <v>154</v>
      </c>
      <c r="G14" s="95" t="s">
        <v>155</v>
      </c>
      <c r="J14" s="91"/>
      <c r="K14" s="32"/>
      <c r="M14" s="92" t="s">
        <v>153</v>
      </c>
      <c r="N14" s="94" t="s">
        <v>154</v>
      </c>
      <c r="O14" s="95" t="s">
        <v>155</v>
      </c>
      <c r="P14" s="81"/>
      <c r="S14" s="35"/>
      <c r="Y14" s="31" t="s">
        <v>210</v>
      </c>
      <c r="AB14" s="31" t="s">
        <v>211</v>
      </c>
    </row>
    <row r="15" spans="1:29" s="31" customFormat="1" ht="14" thickTop="1" thickBot="1">
      <c r="B15" s="96"/>
      <c r="C15" s="97"/>
      <c r="D15" s="98" t="s">
        <v>156</v>
      </c>
      <c r="E15" s="155">
        <v>1507.87</v>
      </c>
      <c r="F15" s="101">
        <f>IF(Empty_Weight,Empty_Moment*1000/Empty_Weight,"")</f>
        <v>38.253921093993512</v>
      </c>
      <c r="G15" s="102">
        <v>57.681939999999997</v>
      </c>
      <c r="J15" s="96"/>
      <c r="K15" s="97"/>
      <c r="L15" s="98" t="s">
        <v>156</v>
      </c>
      <c r="M15" s="99">
        <f>Empty_Weight</f>
        <v>1507.87</v>
      </c>
      <c r="N15" s="101">
        <f>Empty_Arm</f>
        <v>38.253921093993512</v>
      </c>
      <c r="O15" s="102">
        <f>Empty_Moment</f>
        <v>57.681939999999997</v>
      </c>
      <c r="P15" s="81"/>
      <c r="S15" s="35"/>
      <c r="V15" s="35"/>
      <c r="Y15" s="72">
        <v>52</v>
      </c>
      <c r="Z15" s="73">
        <v>1500</v>
      </c>
      <c r="AB15" s="84">
        <v>35</v>
      </c>
      <c r="AC15" s="76">
        <f>Z15</f>
        <v>1500</v>
      </c>
    </row>
    <row r="16" spans="1:29" s="31" customFormat="1" ht="14" thickTop="1" thickBot="1">
      <c r="B16" s="103"/>
      <c r="C16" s="104"/>
      <c r="D16" s="105" t="s">
        <v>157</v>
      </c>
      <c r="E16" s="106">
        <v>400</v>
      </c>
      <c r="F16" s="108">
        <v>37</v>
      </c>
      <c r="G16" s="109">
        <f>Front_Passengers*Front_Passenger_Arm/1000</f>
        <v>14.8</v>
      </c>
      <c r="J16" s="103"/>
      <c r="K16" s="104"/>
      <c r="L16" s="105" t="s">
        <v>157</v>
      </c>
      <c r="M16" s="110">
        <f>Front_Passengers</f>
        <v>400</v>
      </c>
      <c r="N16" s="108">
        <f>Front_Passenger_Arm</f>
        <v>37</v>
      </c>
      <c r="O16" s="109">
        <f>Front_Passenger_Moment</f>
        <v>14.8</v>
      </c>
      <c r="P16" s="81"/>
      <c r="R16" s="54"/>
      <c r="S16" s="35"/>
      <c r="V16" s="18"/>
      <c r="W16" s="18"/>
      <c r="Y16" s="72">
        <v>67</v>
      </c>
      <c r="Z16" s="73">
        <v>1950</v>
      </c>
      <c r="AB16" s="84">
        <v>35</v>
      </c>
      <c r="AC16" s="76">
        <f>Z16</f>
        <v>1950</v>
      </c>
    </row>
    <row r="17" spans="2:29" ht="14" thickTop="1" thickBot="1">
      <c r="B17" s="111"/>
      <c r="C17" s="104"/>
      <c r="D17" s="112" t="s">
        <v>158</v>
      </c>
      <c r="E17" s="106">
        <v>350</v>
      </c>
      <c r="F17" s="108">
        <v>73</v>
      </c>
      <c r="G17" s="109">
        <f>Rear_Passengers*Rear_Passenger_Arm/1000</f>
        <v>25.55</v>
      </c>
      <c r="H17" s="31"/>
      <c r="I17" s="31"/>
      <c r="J17" s="111"/>
      <c r="K17" s="104"/>
      <c r="L17" s="112" t="s">
        <v>158</v>
      </c>
      <c r="M17" s="110">
        <f>Rear_Passengers</f>
        <v>350</v>
      </c>
      <c r="N17" s="108">
        <f>Rear_Passenger_Arm</f>
        <v>73</v>
      </c>
      <c r="O17" s="109">
        <f>Rear_Passenger_Moment</f>
        <v>25.55</v>
      </c>
      <c r="P17" s="81"/>
      <c r="Q17" s="31"/>
      <c r="R17" s="54"/>
      <c r="S17" s="113"/>
      <c r="T17" s="18"/>
      <c r="U17" s="18"/>
      <c r="Y17" s="72">
        <v>70</v>
      </c>
      <c r="Z17" s="73">
        <v>2000</v>
      </c>
      <c r="AB17" s="84">
        <v>35.5</v>
      </c>
      <c r="AC17" s="76">
        <f>Z17</f>
        <v>2000</v>
      </c>
    </row>
    <row r="18" spans="2:29" ht="14" thickTop="1" thickBot="1">
      <c r="B18" s="111"/>
      <c r="C18" s="104"/>
      <c r="D18" s="112" t="s">
        <v>212</v>
      </c>
      <c r="E18" s="157">
        <v>13.1</v>
      </c>
      <c r="F18" s="108">
        <v>-14</v>
      </c>
      <c r="G18" s="109">
        <f>E18*F18/1000</f>
        <v>-0.18340000000000001</v>
      </c>
      <c r="H18" s="31"/>
      <c r="I18" s="31"/>
      <c r="J18" s="111"/>
      <c r="K18" s="104"/>
      <c r="L18" s="112" t="s">
        <v>213</v>
      </c>
      <c r="M18" s="110">
        <f>E18</f>
        <v>13.1</v>
      </c>
      <c r="N18" s="108">
        <v>-14</v>
      </c>
      <c r="O18" s="109">
        <f>M18*N18/1000</f>
        <v>-0.18340000000000001</v>
      </c>
      <c r="P18" s="31"/>
      <c r="Q18" s="28"/>
      <c r="R18" s="28"/>
      <c r="S18" s="113"/>
      <c r="T18" s="18"/>
      <c r="U18" s="18"/>
      <c r="Y18" s="72">
        <v>81</v>
      </c>
      <c r="Z18" s="73">
        <v>2000</v>
      </c>
      <c r="AB18" s="84">
        <f>Y18*1000/Z18</f>
        <v>40.5</v>
      </c>
      <c r="AC18" s="76">
        <f>Z18</f>
        <v>2000</v>
      </c>
    </row>
    <row r="19" spans="2:29" ht="14" thickTop="1" thickBot="1">
      <c r="B19" s="114"/>
      <c r="C19" s="104"/>
      <c r="D19" s="112" t="s">
        <v>159</v>
      </c>
      <c r="E19" s="106">
        <v>20</v>
      </c>
      <c r="F19" s="108">
        <v>95</v>
      </c>
      <c r="G19" s="109">
        <f>Baggage_1*Baggage_1_Arm/1000</f>
        <v>1.9</v>
      </c>
      <c r="H19" s="31"/>
      <c r="I19" s="31"/>
      <c r="J19" s="114"/>
      <c r="K19" s="104"/>
      <c r="L19" s="112" t="s">
        <v>160</v>
      </c>
      <c r="M19" s="110">
        <f>Baggage_1</f>
        <v>20</v>
      </c>
      <c r="N19" s="108">
        <f>Baggage_1_Arm</f>
        <v>95</v>
      </c>
      <c r="O19" s="109">
        <f>Baggage_1_Moment</f>
        <v>1.9</v>
      </c>
      <c r="P19" s="31"/>
      <c r="Q19" s="28"/>
      <c r="R19" s="28"/>
      <c r="S19" s="18"/>
      <c r="T19" s="18"/>
      <c r="U19" s="18"/>
      <c r="Y19" s="72">
        <v>61</v>
      </c>
      <c r="Z19" s="73">
        <v>1500</v>
      </c>
      <c r="AB19" s="84">
        <v>40.5</v>
      </c>
      <c r="AC19" s="76">
        <f>Z19</f>
        <v>1500</v>
      </c>
    </row>
    <row r="20" spans="2:29" ht="13" thickTop="1">
      <c r="B20" s="114"/>
      <c r="C20" s="104"/>
      <c r="D20" s="112" t="s">
        <v>214</v>
      </c>
      <c r="E20" s="106">
        <v>25</v>
      </c>
      <c r="F20" s="108">
        <v>123</v>
      </c>
      <c r="G20" s="109">
        <f>Baggage_2*Baggage_2_Arm/1000</f>
        <v>3.0750000000000002</v>
      </c>
      <c r="H20" s="31"/>
      <c r="I20" s="18"/>
      <c r="J20" s="114"/>
      <c r="K20" s="104"/>
      <c r="L20" s="112" t="s">
        <v>162</v>
      </c>
      <c r="M20" s="110">
        <f>Baggage_2</f>
        <v>25</v>
      </c>
      <c r="N20" s="108">
        <f>Baggage_2_Arm</f>
        <v>123</v>
      </c>
      <c r="O20" s="109">
        <f>Baggage_2_Moment</f>
        <v>3.0750000000000002</v>
      </c>
      <c r="P20" s="31"/>
      <c r="Q20" s="18"/>
      <c r="R20" s="18"/>
      <c r="S20" s="18"/>
      <c r="T20" s="18"/>
      <c r="U20" s="18"/>
    </row>
    <row r="21" spans="2:29" ht="13" thickBot="1">
      <c r="B21" s="111"/>
      <c r="C21" s="117" t="s">
        <v>163</v>
      </c>
      <c r="D21" s="108">
        <f>F5-Grnd_Ops_Fuel</f>
        <v>39</v>
      </c>
      <c r="E21" s="110">
        <f>Departure_Fuel*6</f>
        <v>234</v>
      </c>
      <c r="F21" s="168">
        <v>47.9</v>
      </c>
      <c r="G21" s="109">
        <f>Departure_Fuel_Weight*Fuel_Arm/1000</f>
        <v>11.208600000000001</v>
      </c>
      <c r="H21" s="31"/>
      <c r="I21" s="18"/>
      <c r="J21" s="111"/>
      <c r="K21" s="117" t="s">
        <v>215</v>
      </c>
      <c r="L21" s="108">
        <f>Departure_Fuel-F6*10.1</f>
        <v>8.7000000000000028</v>
      </c>
      <c r="M21" s="110">
        <f>Arrival_Fuel*6</f>
        <v>52.200000000000017</v>
      </c>
      <c r="N21" s="108">
        <f>Fuel_Arm</f>
        <v>47.9</v>
      </c>
      <c r="O21" s="109">
        <f>Arrival_Fuel_Weight*Fuel_Arm/1000</f>
        <v>2.5003800000000007</v>
      </c>
      <c r="P21" s="30"/>
      <c r="Q21" s="18"/>
      <c r="R21" s="18"/>
      <c r="S21" s="18"/>
      <c r="T21" s="18"/>
      <c r="U21" s="18"/>
    </row>
    <row r="22" spans="2:29" ht="13" thickBot="1">
      <c r="B22" s="111"/>
      <c r="C22" s="117" t="s">
        <v>165</v>
      </c>
      <c r="D22" s="120">
        <v>1</v>
      </c>
      <c r="E22" s="110"/>
      <c r="F22" s="108"/>
      <c r="G22" s="109">
        <f>Grnd_Ops_Fuel_Weight*Fuel_Arm/1000</f>
        <v>0</v>
      </c>
      <c r="H22" s="54"/>
      <c r="I22" s="18"/>
      <c r="J22" s="121"/>
      <c r="K22" s="122"/>
      <c r="L22" s="123" t="s">
        <v>166</v>
      </c>
      <c r="M22" s="124">
        <f>SUM(M15:M21)</f>
        <v>2368.1699999999996</v>
      </c>
      <c r="N22" s="125">
        <f>IF(Total_Arrival_Weight,Total_Arrival_Moment*1000/Total_Arrival_Weight,"")</f>
        <v>44.474813885827459</v>
      </c>
      <c r="O22" s="126">
        <f>SUM(O15:O21)</f>
        <v>105.32392</v>
      </c>
      <c r="P22" s="30"/>
      <c r="Q22" s="18"/>
      <c r="R22" s="18"/>
      <c r="S22" s="18"/>
      <c r="T22" s="18"/>
      <c r="U22" s="18"/>
    </row>
    <row r="23" spans="2:29" ht="13" thickBot="1">
      <c r="B23" s="121"/>
      <c r="C23" s="122"/>
      <c r="D23" s="123" t="s">
        <v>166</v>
      </c>
      <c r="E23" s="124">
        <f>SUM(E15:E22)</f>
        <v>2549.9699999999998</v>
      </c>
      <c r="F23" s="125">
        <f>IF(Total_Departure_Weight,Total_Departure_Moment*1000/Total_Departure_Weight,"")</f>
        <v>44.719012380537812</v>
      </c>
      <c r="G23" s="126">
        <f>SUM(G15:G22)</f>
        <v>114.03214</v>
      </c>
      <c r="H23" s="54"/>
      <c r="I23" s="18"/>
      <c r="J23" s="128"/>
      <c r="K23" s="129"/>
      <c r="L23" s="130"/>
      <c r="M23" s="130"/>
      <c r="N23" s="131" t="s">
        <v>167</v>
      </c>
      <c r="O23" s="132">
        <f>Total_Arrival_Arm</f>
        <v>44.474813885827459</v>
      </c>
      <c r="P23" s="18"/>
      <c r="Q23" s="18"/>
      <c r="R23" s="18"/>
      <c r="S23" s="18"/>
      <c r="T23" s="18"/>
      <c r="U23" s="18"/>
    </row>
    <row r="24" spans="2:29" ht="14" thickTop="1" thickBot="1">
      <c r="B24" s="128"/>
      <c r="C24" s="129"/>
      <c r="D24" s="130"/>
      <c r="E24" s="130"/>
      <c r="F24" s="131" t="s">
        <v>167</v>
      </c>
      <c r="G24" s="132">
        <f>Total_Departure_Arm</f>
        <v>44.719012380537812</v>
      </c>
      <c r="H24" s="29"/>
      <c r="I24" s="28"/>
      <c r="J24" s="18"/>
      <c r="K24" s="18"/>
      <c r="L24" s="18"/>
      <c r="M24" s="18"/>
      <c r="N24" s="18"/>
      <c r="O24" s="30"/>
      <c r="P24" s="18"/>
      <c r="Q24" s="18"/>
      <c r="R24" s="18"/>
      <c r="S24" s="18"/>
      <c r="T24" s="18"/>
      <c r="U24" s="18"/>
    </row>
    <row r="25" spans="2:29" ht="12" thickTop="1">
      <c r="B25" s="18"/>
      <c r="C25" s="18"/>
      <c r="D25" s="18"/>
      <c r="E25" s="18"/>
      <c r="F25" s="18"/>
      <c r="G25" s="18"/>
      <c r="H25" s="29"/>
      <c r="I25" s="28"/>
      <c r="J25" s="18"/>
      <c r="K25" s="18"/>
      <c r="L25" s="18"/>
      <c r="M25" s="18"/>
      <c r="N25" s="18"/>
      <c r="O25" s="30"/>
      <c r="P25" s="18"/>
      <c r="Q25" s="18"/>
      <c r="R25" s="18"/>
      <c r="S25" s="18"/>
      <c r="T25" s="18"/>
      <c r="U25" s="133"/>
    </row>
    <row r="26" spans="2:29">
      <c r="B26" s="18"/>
      <c r="C26" s="18"/>
      <c r="D26" s="18"/>
      <c r="E26" s="18"/>
      <c r="F26" s="18"/>
      <c r="G26" s="18"/>
      <c r="H26" s="29"/>
      <c r="I26" s="28"/>
      <c r="J26" s="18"/>
      <c r="K26" s="18"/>
      <c r="L26" s="18"/>
      <c r="M26" s="18"/>
      <c r="N26" s="18"/>
      <c r="O26" s="18"/>
      <c r="P26" s="18"/>
      <c r="Q26" s="18"/>
      <c r="R26" s="18"/>
      <c r="S26" s="18"/>
      <c r="T26" s="18"/>
      <c r="U26" s="133"/>
    </row>
    <row r="27" spans="2:29">
      <c r="B27" s="18"/>
      <c r="C27" s="18"/>
      <c r="D27" s="18"/>
      <c r="E27" s="18"/>
      <c r="F27" s="18"/>
      <c r="G27" s="18"/>
      <c r="H27" s="29"/>
      <c r="I27" s="18"/>
      <c r="J27" s="18"/>
      <c r="K27" s="18"/>
      <c r="L27" s="18"/>
      <c r="M27" s="18"/>
      <c r="N27" s="18"/>
      <c r="O27" s="18"/>
      <c r="P27" s="18"/>
      <c r="Q27" s="18"/>
      <c r="R27" s="18"/>
      <c r="S27" s="18"/>
      <c r="T27" s="18"/>
      <c r="U27" s="133"/>
    </row>
    <row r="28" spans="2:29">
      <c r="B28" s="18"/>
      <c r="C28" s="18"/>
      <c r="D28" s="18"/>
      <c r="E28" s="18"/>
      <c r="F28" s="18"/>
      <c r="G28" s="18"/>
      <c r="H28" s="29"/>
      <c r="I28" s="28"/>
      <c r="J28" s="18"/>
      <c r="K28" s="18"/>
      <c r="L28" s="18"/>
      <c r="M28" s="18"/>
      <c r="N28" s="18"/>
      <c r="O28" s="18"/>
      <c r="P28" s="18"/>
      <c r="Q28" s="18"/>
      <c r="R28" s="18"/>
      <c r="S28" s="18"/>
      <c r="T28" s="18"/>
      <c r="U28" s="133"/>
    </row>
    <row r="29" spans="2:29">
      <c r="B29" s="18"/>
      <c r="C29" s="18"/>
      <c r="D29" s="18"/>
      <c r="E29" s="18"/>
      <c r="F29" s="18"/>
      <c r="G29" s="18"/>
      <c r="H29" s="29"/>
      <c r="I29" s="28"/>
      <c r="J29" s="18"/>
      <c r="K29" s="18"/>
      <c r="L29" s="18"/>
      <c r="M29" s="18"/>
      <c r="N29" s="18"/>
      <c r="O29" s="18"/>
      <c r="P29" s="18"/>
      <c r="Q29" s="18"/>
      <c r="R29" s="18"/>
      <c r="S29" s="18"/>
      <c r="T29" s="18"/>
      <c r="U29" s="133"/>
    </row>
    <row r="30" spans="2:29">
      <c r="B30" s="18"/>
      <c r="C30" s="18"/>
      <c r="D30" s="18"/>
      <c r="E30" s="18"/>
      <c r="F30" s="18"/>
      <c r="G30" s="18"/>
      <c r="H30" s="18"/>
      <c r="I30" s="18"/>
      <c r="J30" s="18"/>
      <c r="K30" s="18"/>
      <c r="L30" s="18"/>
      <c r="M30" s="18"/>
      <c r="N30" s="18"/>
      <c r="O30" s="18"/>
      <c r="P30" s="18"/>
      <c r="Q30" s="18"/>
      <c r="R30" s="18"/>
      <c r="S30" s="18"/>
      <c r="T30" s="18"/>
      <c r="U30" s="133"/>
    </row>
    <row r="31" spans="2:29">
      <c r="B31" s="18"/>
      <c r="C31" s="18"/>
      <c r="D31" s="18"/>
      <c r="E31" s="18"/>
      <c r="F31" s="18"/>
      <c r="G31" s="18"/>
      <c r="H31" s="18"/>
      <c r="I31" s="18"/>
      <c r="J31" s="18"/>
      <c r="K31" s="18"/>
      <c r="L31" s="18"/>
      <c r="M31" s="18"/>
      <c r="N31" s="18"/>
      <c r="O31" s="18"/>
      <c r="P31" s="18"/>
      <c r="Q31" s="18"/>
      <c r="R31" s="18"/>
      <c r="S31" s="18"/>
      <c r="T31" s="18"/>
      <c r="U31" s="133"/>
    </row>
    <row r="32" spans="2:29">
      <c r="B32" s="18"/>
      <c r="C32" s="18"/>
      <c r="D32" s="18"/>
      <c r="E32" s="18"/>
      <c r="F32" s="18"/>
      <c r="G32" s="18"/>
      <c r="H32" s="18"/>
      <c r="I32" s="18"/>
      <c r="J32" s="18"/>
      <c r="K32" s="18"/>
      <c r="L32" s="18"/>
      <c r="M32" s="18"/>
      <c r="N32" s="18"/>
      <c r="O32" s="18"/>
      <c r="P32" s="18"/>
      <c r="Q32" s="18"/>
      <c r="R32" s="18"/>
      <c r="S32" s="18"/>
      <c r="T32" s="18"/>
      <c r="U32" s="133"/>
    </row>
    <row r="33" spans="2:21">
      <c r="B33" s="18"/>
      <c r="C33" s="18"/>
      <c r="D33" s="18"/>
      <c r="E33" s="18"/>
      <c r="F33" s="18"/>
      <c r="G33" s="18"/>
      <c r="H33" s="18"/>
      <c r="I33" s="18"/>
      <c r="J33" s="28"/>
      <c r="K33" s="28"/>
      <c r="L33" s="28"/>
      <c r="M33" s="28"/>
      <c r="N33" s="28"/>
      <c r="O33" s="18"/>
      <c r="P33" s="18"/>
      <c r="Q33" s="18"/>
      <c r="R33" s="18"/>
      <c r="S33" s="18"/>
      <c r="T33" s="18"/>
      <c r="U33" s="133"/>
    </row>
    <row r="34" spans="2:21">
      <c r="B34" s="18"/>
      <c r="C34" s="18"/>
      <c r="D34" s="18"/>
      <c r="E34" s="18"/>
      <c r="F34" s="18"/>
      <c r="G34" s="18"/>
      <c r="H34" s="18"/>
      <c r="I34" s="18"/>
      <c r="J34" s="28"/>
      <c r="K34" s="28"/>
      <c r="L34" s="28"/>
      <c r="M34" s="28"/>
      <c r="N34" s="28"/>
      <c r="O34" s="18"/>
      <c r="P34" s="18"/>
      <c r="Q34" s="18"/>
      <c r="R34" s="18"/>
      <c r="S34" s="18"/>
      <c r="T34" s="18"/>
      <c r="U34" s="18"/>
    </row>
    <row r="35" spans="2:21">
      <c r="B35" s="18"/>
      <c r="C35" s="18"/>
      <c r="D35" s="18"/>
      <c r="E35" s="18"/>
      <c r="F35" s="18"/>
      <c r="G35" s="18"/>
      <c r="H35" s="18"/>
      <c r="I35" s="18"/>
      <c r="J35" s="28"/>
      <c r="K35" s="28"/>
      <c r="L35" s="28"/>
      <c r="M35" s="28"/>
      <c r="N35" s="28"/>
      <c r="O35" s="18"/>
      <c r="P35" s="18"/>
      <c r="Q35" s="133"/>
      <c r="R35" s="18"/>
      <c r="S35" s="18"/>
      <c r="T35" s="18"/>
      <c r="U35" s="18"/>
    </row>
    <row r="36" spans="2:21">
      <c r="B36" s="18"/>
      <c r="C36" s="18"/>
      <c r="D36" s="18"/>
      <c r="E36" s="18"/>
      <c r="F36" s="18"/>
      <c r="G36" s="18"/>
      <c r="H36" s="29"/>
      <c r="I36" s="28"/>
      <c r="J36" s="28"/>
      <c r="K36" s="28"/>
      <c r="L36" s="28"/>
      <c r="M36" s="28"/>
      <c r="N36" s="28"/>
      <c r="O36" s="18"/>
      <c r="P36" s="18"/>
      <c r="Q36" s="133"/>
      <c r="R36" s="18"/>
      <c r="S36" s="18"/>
      <c r="T36" s="18"/>
      <c r="U36" s="18"/>
    </row>
    <row r="37" spans="2:21">
      <c r="B37" s="27"/>
      <c r="C37" s="28"/>
      <c r="D37" s="18"/>
      <c r="E37" s="18"/>
      <c r="F37" s="29"/>
      <c r="G37" s="18"/>
      <c r="H37" s="29"/>
      <c r="I37" s="28"/>
      <c r="J37" s="28"/>
      <c r="K37" s="28"/>
      <c r="L37" s="28"/>
      <c r="M37" s="28"/>
      <c r="N37" s="28"/>
      <c r="O37" s="18"/>
      <c r="P37" s="18"/>
      <c r="Q37" s="18"/>
      <c r="R37" s="18"/>
      <c r="S37" s="18"/>
      <c r="T37" s="18"/>
      <c r="U37" s="18"/>
    </row>
    <row r="38" spans="2:21">
      <c r="B38" s="27"/>
      <c r="C38" s="28"/>
      <c r="D38" s="18"/>
      <c r="E38" s="18"/>
      <c r="F38" s="29"/>
      <c r="G38" s="18"/>
      <c r="H38" s="29"/>
      <c r="I38" s="28"/>
      <c r="J38" s="28"/>
      <c r="K38" s="28"/>
      <c r="L38" s="28"/>
      <c r="M38" s="28"/>
      <c r="N38" s="28"/>
      <c r="O38" s="18"/>
      <c r="P38" s="134"/>
      <c r="Q38" s="133"/>
      <c r="R38" s="18"/>
      <c r="S38" s="18"/>
      <c r="T38" s="18"/>
      <c r="U38" s="18"/>
    </row>
    <row r="39" spans="2:21">
      <c r="B39" s="27"/>
      <c r="C39" s="28"/>
      <c r="D39" s="18"/>
      <c r="E39" s="18"/>
      <c r="F39" s="29"/>
      <c r="G39" s="18"/>
      <c r="H39" s="29"/>
      <c r="I39" s="28"/>
      <c r="J39" s="28"/>
      <c r="K39" s="28"/>
      <c r="L39" s="28"/>
      <c r="M39" s="28"/>
      <c r="N39" s="28"/>
      <c r="O39" s="18"/>
      <c r="P39" s="134"/>
      <c r="Q39" s="133"/>
      <c r="R39" s="18"/>
      <c r="S39" s="18"/>
      <c r="T39" s="18"/>
      <c r="U39" s="18"/>
    </row>
    <row r="40" spans="2:21">
      <c r="B40" s="27"/>
      <c r="C40" s="28"/>
      <c r="D40" s="18"/>
      <c r="E40" s="18"/>
      <c r="F40" s="29"/>
      <c r="G40" s="18"/>
      <c r="H40" s="28"/>
      <c r="I40" s="28"/>
      <c r="J40" s="28"/>
      <c r="K40" s="30"/>
      <c r="L40" s="30"/>
      <c r="M40" s="28"/>
      <c r="N40" s="28"/>
      <c r="O40" s="18"/>
      <c r="P40" s="133"/>
      <c r="Q40" s="133"/>
      <c r="R40" s="18"/>
      <c r="S40" s="18"/>
      <c r="T40" s="18"/>
      <c r="U40" s="18"/>
    </row>
    <row r="41" spans="2:21">
      <c r="B41" s="18"/>
      <c r="C41" s="18"/>
      <c r="D41" s="29"/>
      <c r="E41" s="18"/>
      <c r="F41" s="18"/>
      <c r="G41" s="28"/>
      <c r="H41" s="28"/>
      <c r="I41" s="28"/>
      <c r="J41" s="28"/>
      <c r="K41" s="30"/>
      <c r="L41" s="30"/>
      <c r="M41" s="28"/>
      <c r="N41" s="28"/>
      <c r="O41" s="113"/>
      <c r="P41" s="134"/>
      <c r="Q41" s="134"/>
      <c r="R41" s="133"/>
      <c r="S41" s="113"/>
      <c r="T41" s="134"/>
      <c r="U41" s="18"/>
    </row>
    <row r="42" spans="2:21">
      <c r="B42" s="18"/>
      <c r="C42" s="18"/>
      <c r="D42" s="29"/>
      <c r="E42" s="18"/>
      <c r="F42" s="18"/>
      <c r="G42" s="28"/>
      <c r="H42" s="28"/>
      <c r="I42" s="28"/>
      <c r="J42" s="28"/>
      <c r="K42" s="30"/>
      <c r="L42" s="30"/>
      <c r="M42" s="28"/>
      <c r="N42" s="28"/>
      <c r="O42" s="113"/>
      <c r="P42" s="134"/>
      <c r="Q42" s="28"/>
      <c r="R42" s="28"/>
      <c r="S42" s="113"/>
      <c r="T42" s="134"/>
      <c r="U42" s="133"/>
    </row>
    <row r="43" spans="2:21">
      <c r="B43" s="18"/>
      <c r="C43" s="18"/>
      <c r="D43" s="29"/>
      <c r="E43" s="18"/>
      <c r="F43" s="18"/>
      <c r="G43" s="28"/>
      <c r="H43" s="28"/>
      <c r="I43" s="28"/>
      <c r="J43" s="30"/>
      <c r="K43" s="30"/>
      <c r="L43" s="28"/>
      <c r="M43" s="28"/>
      <c r="N43" s="113"/>
      <c r="O43" s="134"/>
      <c r="P43" s="134"/>
      <c r="Q43" s="28"/>
      <c r="R43" s="28"/>
      <c r="S43" s="113"/>
      <c r="T43" s="134"/>
      <c r="U43" s="133"/>
    </row>
    <row r="44" spans="2:21">
      <c r="B44" s="18"/>
      <c r="C44" s="18"/>
      <c r="D44" s="28"/>
      <c r="E44" s="18"/>
      <c r="F44" s="18"/>
      <c r="G44" s="28"/>
      <c r="H44" s="28"/>
      <c r="I44" s="28"/>
      <c r="J44" s="28"/>
      <c r="K44" s="30"/>
      <c r="L44" s="30"/>
      <c r="M44" s="28"/>
      <c r="N44" s="28"/>
      <c r="O44" s="113"/>
      <c r="P44" s="113"/>
      <c r="Q44" s="28"/>
      <c r="R44" s="28"/>
      <c r="S44" s="113"/>
      <c r="T44" s="134"/>
      <c r="U44" s="133"/>
    </row>
    <row r="45" spans="2:21">
      <c r="B45" s="27"/>
      <c r="C45" s="28"/>
      <c r="D45" s="135"/>
      <c r="E45" s="18"/>
      <c r="F45" s="18"/>
      <c r="G45" s="28"/>
      <c r="H45" s="28"/>
      <c r="I45" s="28"/>
      <c r="J45" s="30"/>
      <c r="K45" s="18" t="s">
        <v>216</v>
      </c>
      <c r="L45" s="28"/>
      <c r="M45" s="28"/>
      <c r="N45" s="113"/>
      <c r="O45" s="113"/>
      <c r="P45" s="30"/>
      <c r="Q45" s="28"/>
      <c r="R45" s="28"/>
      <c r="S45" s="113"/>
      <c r="T45" s="134"/>
      <c r="U45" s="133"/>
    </row>
    <row r="46" spans="2:21" ht="24">
      <c r="B46" s="18"/>
      <c r="C46" s="18"/>
      <c r="D46" s="136" t="s">
        <v>217</v>
      </c>
      <c r="E46" s="136" t="s">
        <v>218</v>
      </c>
      <c r="F46" s="137" t="s">
        <v>219</v>
      </c>
      <c r="G46" s="18"/>
      <c r="H46" s="18"/>
      <c r="I46" s="18"/>
      <c r="J46" s="138" t="s">
        <v>172</v>
      </c>
      <c r="K46" s="139" t="s">
        <v>173</v>
      </c>
      <c r="L46" s="140">
        <v>2500</v>
      </c>
      <c r="M46" s="140">
        <v>5000</v>
      </c>
      <c r="N46" s="140">
        <v>7500</v>
      </c>
      <c r="O46" s="140">
        <v>10000</v>
      </c>
      <c r="P46" s="30"/>
      <c r="Q46" s="28"/>
      <c r="R46" s="28"/>
      <c r="S46" s="113"/>
      <c r="T46" s="134"/>
      <c r="U46" s="133"/>
    </row>
    <row r="47" spans="2:21">
      <c r="B47" s="18"/>
      <c r="C47" s="141" t="s">
        <v>174</v>
      </c>
      <c r="D47" s="141">
        <v>105</v>
      </c>
      <c r="E47" s="142">
        <f>SQRT($E$23/2550)*D47</f>
        <v>104.99938235112455</v>
      </c>
      <c r="F47" s="142">
        <f>SQRT($M$22/2550)*D47</f>
        <v>101.1872158281807</v>
      </c>
      <c r="G47" s="18"/>
      <c r="H47" s="18"/>
      <c r="I47" s="143" t="s">
        <v>175</v>
      </c>
      <c r="J47" s="144">
        <v>62</v>
      </c>
      <c r="K47" s="145">
        <f>SQRT($E$23/2550)*J47</f>
        <v>61.999635293044975</v>
      </c>
      <c r="L47" s="145">
        <f>K47+1.25</f>
        <v>63.249635293044975</v>
      </c>
      <c r="M47" s="145">
        <f>L47+1.25</f>
        <v>64.499635293044975</v>
      </c>
      <c r="N47" s="145">
        <f>M47+1.25</f>
        <v>65.749635293044975</v>
      </c>
      <c r="O47" s="145">
        <f>N47+1.25</f>
        <v>66.999635293044975</v>
      </c>
      <c r="P47" s="30"/>
      <c r="Q47" s="28"/>
      <c r="R47" s="28"/>
      <c r="S47" s="113"/>
      <c r="T47" s="134"/>
      <c r="U47" s="133"/>
    </row>
    <row r="48" spans="2:21">
      <c r="B48" s="18"/>
      <c r="C48" s="141" t="s">
        <v>176</v>
      </c>
      <c r="D48" s="141">
        <v>70</v>
      </c>
      <c r="E48" s="142">
        <f>SQRT($E$23/2550)*D48</f>
        <v>69.999588234083035</v>
      </c>
      <c r="F48" s="142">
        <f>SQRT($M$22/2550)*D48</f>
        <v>67.458143885453794</v>
      </c>
      <c r="G48" s="18"/>
      <c r="H48" s="18"/>
      <c r="I48" s="147" t="s">
        <v>177</v>
      </c>
      <c r="J48" s="148">
        <v>73</v>
      </c>
      <c r="K48" s="149">
        <f>SQRT($E$23/2550)*J48</f>
        <v>72.999570586972311</v>
      </c>
      <c r="L48" s="149">
        <f>K48-0.5</f>
        <v>72.499570586972311</v>
      </c>
      <c r="M48" s="149">
        <f>L48-0.5</f>
        <v>71.999570586972311</v>
      </c>
      <c r="N48" s="149">
        <f>M48-0.5</f>
        <v>71.499570586972311</v>
      </c>
      <c r="O48" s="149">
        <f>N48-0.5</f>
        <v>70.999570586972311</v>
      </c>
      <c r="P48" s="30"/>
      <c r="Q48" s="28"/>
      <c r="R48" s="28"/>
      <c r="S48" s="113"/>
      <c r="T48" s="134"/>
      <c r="U48" s="133"/>
    </row>
    <row r="49" spans="2:21">
      <c r="B49" s="18"/>
      <c r="C49" s="147" t="s">
        <v>178</v>
      </c>
      <c r="D49" s="147">
        <v>40</v>
      </c>
      <c r="E49" s="142">
        <f>SQRT($E$23/2550)*D49</f>
        <v>39.999764705190309</v>
      </c>
      <c r="F49" s="142">
        <f>SQRT($M$22/2550)*D49</f>
        <v>38.547510791687884</v>
      </c>
      <c r="G49" s="18"/>
      <c r="H49" s="18"/>
      <c r="I49" s="18"/>
      <c r="J49" s="18"/>
      <c r="K49" s="18" t="s">
        <v>179</v>
      </c>
      <c r="L49" s="18"/>
      <c r="M49" s="18"/>
      <c r="N49" s="18"/>
      <c r="O49" s="18"/>
      <c r="P49" s="30"/>
      <c r="Q49" s="28"/>
      <c r="R49" s="28"/>
      <c r="S49" s="113"/>
      <c r="T49" s="134"/>
      <c r="U49" s="133"/>
    </row>
    <row r="50" spans="2:21">
      <c r="B50" s="18"/>
      <c r="C50" s="151" t="s">
        <v>180</v>
      </c>
      <c r="D50" s="151">
        <v>50</v>
      </c>
      <c r="E50" s="142">
        <f>SQRT($E$23/2550)*D50</f>
        <v>49.999705881487884</v>
      </c>
      <c r="F50" s="142">
        <f>SQRT($M$22/2550)*D50</f>
        <v>48.184388489609852</v>
      </c>
      <c r="G50" s="18"/>
      <c r="H50" s="18"/>
      <c r="I50" s="143" t="s">
        <v>175</v>
      </c>
      <c r="J50" s="144">
        <v>62</v>
      </c>
      <c r="K50" s="145">
        <f>SQRT($M$22/2550)*J50</f>
        <v>59.748641727116215</v>
      </c>
      <c r="L50" s="145">
        <f>K50+1.25</f>
        <v>60.998641727116215</v>
      </c>
      <c r="M50" s="145">
        <f>L50+1.25</f>
        <v>62.248641727116215</v>
      </c>
      <c r="N50" s="145">
        <f>M50+1.25</f>
        <v>63.498641727116215</v>
      </c>
      <c r="O50" s="145">
        <f>N50+1.25</f>
        <v>64.748641727116222</v>
      </c>
      <c r="P50" s="30"/>
      <c r="Q50" s="28"/>
      <c r="R50" s="28"/>
      <c r="S50" s="113"/>
      <c r="T50" s="134"/>
      <c r="U50" s="133"/>
    </row>
    <row r="51" spans="2:21">
      <c r="B51" s="144"/>
      <c r="C51" s="143" t="s">
        <v>220</v>
      </c>
      <c r="D51" s="153">
        <v>60</v>
      </c>
      <c r="E51" s="142">
        <f>SQRT($E$23/2550)*D51</f>
        <v>59.999647057785459</v>
      </c>
      <c r="F51" s="142">
        <f>SQRT($M$22/2550)*D51</f>
        <v>57.821266187531826</v>
      </c>
      <c r="G51" s="18"/>
      <c r="H51" s="18"/>
      <c r="I51" s="147" t="s">
        <v>177</v>
      </c>
      <c r="J51" s="148">
        <v>73</v>
      </c>
      <c r="K51" s="149">
        <f>SQRT($M$22/2550)*J51</f>
        <v>70.349207194830385</v>
      </c>
      <c r="L51" s="149">
        <f>K51-0.5</f>
        <v>69.849207194830385</v>
      </c>
      <c r="M51" s="149">
        <f>L51-0.5</f>
        <v>69.349207194830385</v>
      </c>
      <c r="N51" s="149">
        <f>M51-0.5</f>
        <v>68.849207194830385</v>
      </c>
      <c r="O51" s="149">
        <f>N51-0.5</f>
        <v>68.349207194830385</v>
      </c>
      <c r="P51" s="30"/>
      <c r="Q51" s="28"/>
      <c r="R51" s="28"/>
      <c r="S51" s="113"/>
      <c r="T51" s="134"/>
      <c r="U51" s="133"/>
    </row>
    <row r="52" spans="2:21">
      <c r="B52" s="18"/>
      <c r="C52" s="18"/>
      <c r="D52" s="18"/>
      <c r="E52" s="18"/>
      <c r="F52" s="18"/>
      <c r="G52" s="18"/>
      <c r="H52" s="18"/>
      <c r="I52" s="18"/>
      <c r="J52" s="18"/>
      <c r="K52" s="18"/>
      <c r="L52" s="28"/>
      <c r="M52" s="28"/>
      <c r="N52" s="28"/>
      <c r="O52" s="30"/>
      <c r="P52" s="30"/>
      <c r="Q52" s="28"/>
      <c r="R52" s="28"/>
      <c r="S52" s="113"/>
      <c r="T52" s="134"/>
      <c r="U52" s="133"/>
    </row>
    <row r="53" spans="2:21">
      <c r="B53" s="27"/>
      <c r="C53" s="28"/>
      <c r="D53" s="18"/>
      <c r="E53" s="18"/>
      <c r="F53" s="29"/>
      <c r="G53" s="18"/>
      <c r="H53" s="29"/>
      <c r="I53" s="28"/>
      <c r="J53" s="28"/>
      <c r="K53" s="28"/>
      <c r="L53" s="28"/>
      <c r="M53" s="28"/>
      <c r="N53" s="28"/>
      <c r="O53" s="30"/>
      <c r="P53" s="30"/>
      <c r="Q53" s="28"/>
      <c r="R53" s="28"/>
      <c r="S53" s="113"/>
      <c r="T53" s="134"/>
      <c r="U53" s="133"/>
    </row>
    <row r="54" spans="2:21">
      <c r="B54" s="27"/>
      <c r="C54" s="28"/>
      <c r="D54" s="18"/>
      <c r="E54" s="18"/>
      <c r="F54" s="29"/>
      <c r="G54" s="18"/>
      <c r="H54" s="29"/>
      <c r="I54" s="28"/>
      <c r="J54" s="28"/>
      <c r="K54" s="28"/>
      <c r="L54" s="28"/>
      <c r="M54" s="28"/>
      <c r="N54" s="28"/>
      <c r="O54" s="30"/>
      <c r="P54" s="30"/>
      <c r="Q54" s="28"/>
      <c r="R54" s="28"/>
      <c r="S54" s="113"/>
      <c r="T54" s="134"/>
      <c r="U54" s="133"/>
    </row>
    <row r="55" spans="2:21">
      <c r="B55" s="27"/>
      <c r="C55" s="28"/>
      <c r="D55" s="18"/>
      <c r="E55" s="18"/>
      <c r="F55" s="29"/>
      <c r="G55" s="18"/>
      <c r="H55" s="29"/>
      <c r="I55" s="28"/>
      <c r="J55" s="28"/>
      <c r="K55" s="28"/>
      <c r="L55" s="28"/>
      <c r="M55" s="28"/>
      <c r="N55" s="28"/>
      <c r="O55" s="30"/>
      <c r="P55" s="30"/>
      <c r="Q55" s="28"/>
      <c r="R55" s="28"/>
      <c r="S55" s="113"/>
      <c r="T55" s="134"/>
      <c r="U55" s="133"/>
    </row>
    <row r="56" spans="2:21">
      <c r="B56" s="27"/>
      <c r="C56" s="28"/>
      <c r="D56" s="18"/>
      <c r="E56" s="18"/>
      <c r="F56" s="29"/>
      <c r="G56" s="18"/>
      <c r="H56" s="29"/>
      <c r="I56" s="28"/>
      <c r="J56" s="28"/>
      <c r="K56" s="28"/>
      <c r="L56" s="28"/>
      <c r="M56" s="28"/>
      <c r="N56" s="28"/>
      <c r="O56" s="30"/>
      <c r="P56" s="30"/>
      <c r="Q56" s="28"/>
      <c r="R56" s="28"/>
      <c r="S56" s="113"/>
      <c r="T56" s="134"/>
      <c r="U56" s="133"/>
    </row>
    <row r="57" spans="2:21">
      <c r="B57" s="27"/>
      <c r="C57" s="28"/>
      <c r="D57" s="18"/>
      <c r="E57" s="18"/>
      <c r="F57" s="29"/>
      <c r="G57" s="18"/>
      <c r="H57" s="29"/>
      <c r="I57" s="28"/>
      <c r="J57" s="28"/>
      <c r="K57" s="28"/>
      <c r="L57" s="28"/>
      <c r="M57" s="28"/>
      <c r="N57" s="28"/>
      <c r="O57" s="30"/>
      <c r="P57" s="30"/>
      <c r="Q57" s="28"/>
      <c r="R57" s="28"/>
      <c r="S57" s="113"/>
      <c r="T57" s="134"/>
      <c r="U57" s="133"/>
    </row>
    <row r="58" spans="2:21">
      <c r="B58" s="27"/>
      <c r="C58" s="28"/>
      <c r="D58" s="18"/>
      <c r="E58" s="18"/>
      <c r="F58" s="29"/>
      <c r="G58" s="18"/>
      <c r="H58" s="29"/>
      <c r="I58" s="28"/>
      <c r="J58" s="28"/>
      <c r="K58" s="28"/>
      <c r="L58" s="28"/>
      <c r="M58" s="28"/>
      <c r="N58" s="28"/>
      <c r="O58" s="30"/>
      <c r="P58" s="30"/>
      <c r="Q58" s="28"/>
      <c r="R58" s="28"/>
      <c r="S58" s="113"/>
      <c r="T58" s="134"/>
      <c r="U58" s="133"/>
    </row>
    <row r="59" spans="2:21">
      <c r="B59" s="27"/>
      <c r="C59" s="28"/>
      <c r="D59" s="18"/>
      <c r="E59" s="18"/>
      <c r="F59" s="29"/>
      <c r="G59" s="18"/>
      <c r="H59" s="29"/>
      <c r="I59" s="28"/>
      <c r="J59" s="28"/>
      <c r="K59" s="28"/>
      <c r="L59" s="28"/>
      <c r="M59" s="28"/>
      <c r="N59" s="28"/>
      <c r="O59" s="30"/>
      <c r="P59" s="30"/>
      <c r="Q59" s="28"/>
      <c r="R59" s="28"/>
      <c r="S59" s="113"/>
      <c r="T59" s="134"/>
      <c r="U59" s="133"/>
    </row>
    <row r="60" spans="2:21">
      <c r="B60" s="27"/>
      <c r="C60" s="28"/>
      <c r="D60" s="18"/>
      <c r="E60" s="18"/>
      <c r="F60" s="29"/>
      <c r="G60" s="18"/>
      <c r="H60" s="29"/>
      <c r="I60" s="28"/>
      <c r="J60" s="28"/>
      <c r="K60" s="28"/>
      <c r="L60" s="28"/>
      <c r="M60" s="28"/>
      <c r="N60" s="28"/>
      <c r="O60" s="30"/>
      <c r="P60" s="30"/>
      <c r="Q60" s="28"/>
      <c r="R60" s="28"/>
      <c r="S60" s="113"/>
      <c r="T60" s="134"/>
      <c r="U60" s="133"/>
    </row>
    <row r="61" spans="2:21">
      <c r="B61" s="27"/>
      <c r="C61" s="28"/>
      <c r="D61" s="18"/>
      <c r="E61" s="18"/>
      <c r="F61" s="29"/>
      <c r="G61" s="18"/>
      <c r="H61" s="29"/>
      <c r="I61" s="28"/>
      <c r="J61" s="28"/>
      <c r="K61" s="28"/>
      <c r="L61" s="28"/>
      <c r="M61" s="28"/>
      <c r="N61" s="28"/>
      <c r="O61" s="30"/>
      <c r="P61" s="30"/>
      <c r="Q61" s="28"/>
      <c r="R61" s="28"/>
      <c r="S61" s="113"/>
      <c r="T61" s="134"/>
      <c r="U61" s="133"/>
    </row>
    <row r="62" spans="2:21">
      <c r="B62" s="27"/>
      <c r="C62" s="28"/>
      <c r="D62" s="18"/>
      <c r="E62" s="18"/>
      <c r="F62" s="29"/>
      <c r="G62" s="18"/>
      <c r="H62" s="29"/>
      <c r="I62" s="28"/>
      <c r="J62" s="28"/>
      <c r="K62" s="28"/>
      <c r="L62" s="28"/>
      <c r="M62" s="28"/>
      <c r="N62" s="28"/>
      <c r="O62" s="30"/>
      <c r="P62" s="30"/>
      <c r="Q62" s="28"/>
      <c r="R62" s="28"/>
      <c r="S62" s="113"/>
      <c r="T62" s="134"/>
      <c r="U62" s="133"/>
    </row>
    <row r="63" spans="2:21">
      <c r="B63" s="27"/>
      <c r="C63" s="28"/>
      <c r="D63" s="18"/>
      <c r="E63" s="18"/>
      <c r="F63" s="29"/>
      <c r="G63" s="18"/>
      <c r="H63" s="29"/>
      <c r="I63" s="28"/>
      <c r="J63" s="28"/>
      <c r="K63" s="28"/>
      <c r="L63" s="28"/>
      <c r="M63" s="28"/>
      <c r="N63" s="28"/>
      <c r="O63" s="30"/>
      <c r="P63" s="30"/>
      <c r="Q63" s="28"/>
      <c r="R63" s="28"/>
      <c r="S63" s="113"/>
      <c r="T63" s="134"/>
      <c r="U63" s="133"/>
    </row>
    <row r="64" spans="2:21">
      <c r="B64" s="27"/>
      <c r="C64" s="28"/>
      <c r="D64" s="18"/>
      <c r="E64" s="18"/>
      <c r="F64" s="29"/>
      <c r="G64" s="18"/>
      <c r="H64" s="29"/>
      <c r="I64" s="28"/>
      <c r="J64" s="28"/>
      <c r="K64" s="28"/>
      <c r="L64" s="28"/>
      <c r="M64" s="28"/>
      <c r="N64" s="28"/>
      <c r="O64" s="30"/>
      <c r="P64" s="30"/>
      <c r="Q64" s="28"/>
      <c r="R64" s="28"/>
      <c r="S64" s="113"/>
      <c r="T64" s="134"/>
      <c r="U64" s="133"/>
    </row>
    <row r="65" spans="2:21">
      <c r="B65" s="27"/>
      <c r="C65" s="28"/>
      <c r="D65" s="18"/>
      <c r="E65" s="18"/>
      <c r="F65" s="29"/>
      <c r="G65" s="18"/>
      <c r="H65" s="29"/>
      <c r="I65" s="28"/>
      <c r="J65" s="28"/>
      <c r="K65" s="28"/>
      <c r="L65" s="28"/>
      <c r="M65" s="28"/>
      <c r="N65" s="28"/>
      <c r="O65" s="30"/>
      <c r="P65" s="30"/>
      <c r="Q65" s="28"/>
      <c r="R65" s="28"/>
      <c r="S65" s="113"/>
      <c r="T65" s="134"/>
      <c r="U65" s="133"/>
    </row>
    <row r="66" spans="2:21">
      <c r="B66" s="27"/>
      <c r="C66" s="28"/>
      <c r="D66" s="18"/>
      <c r="E66" s="18"/>
      <c r="F66" s="29"/>
      <c r="G66" s="18"/>
      <c r="H66" s="29"/>
      <c r="I66" s="28"/>
      <c r="J66" s="28"/>
      <c r="K66" s="28"/>
      <c r="L66" s="28"/>
      <c r="M66" s="28"/>
      <c r="N66" s="28"/>
      <c r="O66" s="30"/>
      <c r="P66" s="30"/>
      <c r="Q66" s="28"/>
      <c r="R66" s="28"/>
      <c r="S66" s="113"/>
      <c r="T66" s="134"/>
      <c r="U66" s="133"/>
    </row>
    <row r="67" spans="2:21">
      <c r="B67" s="27"/>
      <c r="C67" s="28"/>
      <c r="D67" s="18"/>
      <c r="E67" s="18"/>
      <c r="F67" s="29"/>
      <c r="G67" s="18"/>
      <c r="H67" s="29"/>
      <c r="I67" s="28"/>
      <c r="J67" s="28"/>
      <c r="K67" s="28"/>
      <c r="L67" s="28"/>
      <c r="M67" s="28"/>
      <c r="N67" s="28"/>
      <c r="O67" s="30"/>
      <c r="P67" s="30"/>
      <c r="Q67" s="28"/>
      <c r="R67" s="28"/>
      <c r="S67" s="113"/>
      <c r="T67" s="134"/>
      <c r="U67" s="133"/>
    </row>
    <row r="68" spans="2:21">
      <c r="B68" s="27"/>
      <c r="C68" s="28"/>
      <c r="D68" s="18"/>
      <c r="E68" s="18"/>
      <c r="F68" s="29"/>
      <c r="G68" s="18"/>
      <c r="H68" s="29"/>
      <c r="I68" s="28"/>
      <c r="J68" s="28"/>
      <c r="K68" s="28"/>
      <c r="L68" s="28"/>
      <c r="M68" s="28"/>
      <c r="N68" s="28"/>
      <c r="O68" s="30"/>
      <c r="P68" s="30"/>
      <c r="Q68" s="28"/>
      <c r="R68" s="28"/>
      <c r="S68" s="113"/>
      <c r="T68" s="134"/>
      <c r="U68" s="133"/>
    </row>
    <row r="69" spans="2:21">
      <c r="B69" s="27"/>
      <c r="C69" s="28"/>
      <c r="D69" s="18"/>
      <c r="E69" s="18"/>
      <c r="F69" s="29"/>
      <c r="G69" s="18"/>
      <c r="H69" s="29"/>
      <c r="I69" s="28"/>
      <c r="J69" s="28"/>
      <c r="K69" s="28"/>
      <c r="L69" s="28"/>
      <c r="M69" s="28"/>
      <c r="N69" s="28"/>
      <c r="O69" s="30"/>
      <c r="P69" s="30"/>
      <c r="Q69" s="28"/>
      <c r="R69" s="28"/>
      <c r="S69" s="113"/>
      <c r="T69" s="134"/>
      <c r="U69" s="133"/>
    </row>
    <row r="70" spans="2:21">
      <c r="B70" s="27"/>
      <c r="C70" s="28"/>
      <c r="D70" s="18"/>
      <c r="E70" s="18"/>
      <c r="F70" s="29"/>
      <c r="G70" s="18"/>
      <c r="H70" s="29"/>
      <c r="I70" s="28"/>
      <c r="J70" s="28"/>
      <c r="K70" s="28"/>
      <c r="L70" s="28"/>
      <c r="M70" s="28"/>
      <c r="N70" s="28"/>
      <c r="O70" s="30"/>
      <c r="P70" s="30"/>
      <c r="Q70" s="28"/>
      <c r="R70" s="28"/>
      <c r="S70" s="113"/>
      <c r="T70" s="134"/>
      <c r="U70" s="133"/>
    </row>
    <row r="71" spans="2:21">
      <c r="B71" s="27"/>
      <c r="C71" s="28"/>
      <c r="D71" s="18"/>
      <c r="E71" s="18"/>
      <c r="F71" s="29"/>
      <c r="G71" s="18"/>
      <c r="H71" s="29"/>
      <c r="I71" s="28"/>
      <c r="J71" s="28"/>
      <c r="K71" s="28"/>
      <c r="L71" s="28"/>
      <c r="M71" s="28"/>
      <c r="N71" s="28"/>
      <c r="O71" s="30"/>
      <c r="P71" s="30"/>
      <c r="Q71" s="28"/>
      <c r="R71" s="28"/>
      <c r="S71" s="113"/>
      <c r="T71" s="134"/>
      <c r="U71" s="133"/>
    </row>
    <row r="72" spans="2:21">
      <c r="B72" s="27"/>
      <c r="C72" s="28"/>
      <c r="D72" s="18"/>
      <c r="E72" s="18"/>
      <c r="F72" s="29"/>
      <c r="G72" s="18"/>
      <c r="H72" s="29"/>
      <c r="I72" s="28"/>
      <c r="J72" s="28"/>
      <c r="K72" s="28"/>
      <c r="L72" s="28"/>
      <c r="M72" s="28"/>
      <c r="N72" s="28"/>
      <c r="O72" s="30"/>
      <c r="P72" s="30"/>
      <c r="Q72" s="28"/>
      <c r="R72" s="28"/>
      <c r="S72" s="113"/>
      <c r="T72" s="134"/>
      <c r="U72" s="133"/>
    </row>
    <row r="73" spans="2:21">
      <c r="B73" s="27"/>
      <c r="C73" s="28"/>
      <c r="D73" s="18"/>
      <c r="E73" s="18"/>
      <c r="F73" s="29"/>
      <c r="G73" s="18"/>
      <c r="H73" s="29"/>
      <c r="I73" s="28"/>
      <c r="J73" s="28"/>
      <c r="K73" s="28"/>
      <c r="L73" s="28"/>
      <c r="M73" s="28"/>
      <c r="N73" s="28"/>
      <c r="O73" s="30"/>
      <c r="P73" s="30"/>
      <c r="Q73" s="28"/>
      <c r="R73" s="28"/>
      <c r="S73" s="113"/>
      <c r="T73" s="134"/>
      <c r="U73" s="133"/>
    </row>
    <row r="74" spans="2:21">
      <c r="B74" s="27"/>
      <c r="C74" s="28"/>
      <c r="D74" s="18"/>
      <c r="E74" s="18"/>
      <c r="F74" s="29"/>
      <c r="G74" s="18"/>
      <c r="H74" s="29"/>
      <c r="I74" s="28"/>
      <c r="J74" s="28"/>
      <c r="K74" s="28"/>
      <c r="L74" s="28"/>
      <c r="M74" s="28"/>
      <c r="N74" s="28"/>
      <c r="O74" s="30"/>
      <c r="P74" s="30"/>
      <c r="Q74" s="28"/>
      <c r="R74" s="28"/>
      <c r="S74" s="113"/>
      <c r="T74" s="134"/>
      <c r="U74" s="133"/>
    </row>
    <row r="75" spans="2:21">
      <c r="B75" s="27"/>
      <c r="C75" s="28"/>
      <c r="D75" s="18"/>
      <c r="E75" s="18"/>
      <c r="F75" s="29"/>
      <c r="G75" s="18"/>
      <c r="H75" s="29"/>
      <c r="I75" s="28"/>
      <c r="J75" s="28"/>
      <c r="K75" s="28"/>
      <c r="L75" s="28"/>
      <c r="M75" s="28"/>
      <c r="N75" s="28"/>
      <c r="O75" s="30"/>
      <c r="P75" s="30"/>
      <c r="Q75" s="28"/>
      <c r="R75" s="28"/>
      <c r="S75" s="113"/>
      <c r="T75" s="134"/>
      <c r="U75" s="133"/>
    </row>
    <row r="76" spans="2:21">
      <c r="B76" s="27"/>
      <c r="C76" s="28"/>
      <c r="D76" s="18"/>
      <c r="E76" s="18"/>
      <c r="F76" s="29"/>
      <c r="G76" s="18"/>
      <c r="H76" s="29"/>
      <c r="I76" s="28"/>
      <c r="J76" s="28"/>
      <c r="K76" s="28"/>
      <c r="L76" s="28"/>
      <c r="M76" s="28"/>
      <c r="N76" s="28"/>
      <c r="O76" s="30"/>
      <c r="P76" s="30"/>
      <c r="Q76" s="28"/>
      <c r="R76" s="28"/>
      <c r="S76" s="113"/>
      <c r="T76" s="134"/>
      <c r="U76" s="133"/>
    </row>
    <row r="77" spans="2:21">
      <c r="B77" s="27"/>
      <c r="C77" s="28"/>
      <c r="D77" s="18"/>
      <c r="E77" s="18"/>
      <c r="F77" s="29"/>
      <c r="G77" s="18"/>
      <c r="H77" s="29"/>
      <c r="I77" s="28"/>
      <c r="J77" s="28"/>
      <c r="K77" s="28"/>
      <c r="L77" s="28"/>
      <c r="M77" s="28"/>
      <c r="N77" s="28"/>
      <c r="O77" s="30"/>
      <c r="P77" s="30"/>
      <c r="Q77" s="28"/>
      <c r="R77" s="28"/>
      <c r="S77" s="113"/>
      <c r="T77" s="134"/>
      <c r="U77" s="133"/>
    </row>
    <row r="78" spans="2:21">
      <c r="B78" s="27"/>
      <c r="C78" s="28"/>
      <c r="D78" s="18"/>
      <c r="E78" s="18"/>
      <c r="F78" s="29"/>
      <c r="G78" s="18"/>
      <c r="H78" s="29"/>
      <c r="I78" s="28"/>
      <c r="J78" s="28"/>
      <c r="K78" s="28"/>
      <c r="L78" s="28"/>
      <c r="M78" s="28"/>
      <c r="N78" s="28"/>
      <c r="O78" s="30"/>
      <c r="P78" s="30"/>
      <c r="Q78" s="28"/>
      <c r="R78" s="28"/>
      <c r="S78" s="113"/>
      <c r="T78" s="134"/>
      <c r="U78" s="133"/>
    </row>
    <row r="79" spans="2:21">
      <c r="B79" s="27"/>
      <c r="C79" s="28"/>
      <c r="D79" s="18"/>
      <c r="E79" s="18"/>
      <c r="F79" s="29"/>
      <c r="G79" s="18"/>
      <c r="H79" s="29"/>
      <c r="I79" s="28"/>
      <c r="J79" s="28"/>
      <c r="K79" s="28"/>
      <c r="L79" s="28"/>
      <c r="M79" s="28"/>
      <c r="N79" s="28"/>
      <c r="O79" s="30"/>
      <c r="P79" s="30"/>
      <c r="Q79" s="28"/>
      <c r="R79" s="28"/>
      <c r="S79" s="113"/>
      <c r="T79" s="134"/>
      <c r="U79" s="133"/>
    </row>
    <row r="80" spans="2:21">
      <c r="B80" s="27"/>
      <c r="C80" s="28"/>
      <c r="D80" s="18"/>
      <c r="E80" s="18"/>
      <c r="F80" s="29"/>
      <c r="G80" s="18"/>
      <c r="H80" s="29"/>
      <c r="I80" s="28"/>
      <c r="J80" s="28"/>
      <c r="K80" s="28"/>
      <c r="L80" s="28"/>
      <c r="M80" s="28"/>
      <c r="N80" s="28"/>
      <c r="O80" s="30"/>
      <c r="P80" s="30"/>
      <c r="Q80" s="28"/>
      <c r="R80" s="28"/>
      <c r="S80" s="113"/>
      <c r="T80" s="134"/>
      <c r="U80" s="133"/>
    </row>
    <row r="81" spans="2:21">
      <c r="B81" s="27"/>
      <c r="C81" s="28"/>
      <c r="D81" s="18"/>
      <c r="E81" s="18"/>
      <c r="F81" s="29"/>
      <c r="G81" s="18"/>
      <c r="H81" s="29"/>
      <c r="I81" s="28"/>
      <c r="J81" s="28"/>
      <c r="K81" s="28"/>
      <c r="L81" s="28"/>
      <c r="M81" s="28"/>
      <c r="N81" s="28"/>
      <c r="O81" s="30"/>
      <c r="P81" s="30"/>
      <c r="Q81" s="28"/>
      <c r="R81" s="28"/>
      <c r="S81" s="113"/>
      <c r="T81" s="134"/>
      <c r="U81" s="133"/>
    </row>
    <row r="82" spans="2:21">
      <c r="B82" s="27"/>
      <c r="C82" s="28"/>
      <c r="D82" s="18"/>
      <c r="E82" s="18"/>
      <c r="F82" s="29"/>
      <c r="G82" s="18"/>
      <c r="H82" s="29"/>
      <c r="I82" s="28"/>
      <c r="J82" s="28"/>
      <c r="K82" s="28"/>
      <c r="L82" s="28"/>
      <c r="M82" s="28"/>
      <c r="N82" s="28"/>
      <c r="O82" s="30"/>
      <c r="P82" s="30"/>
      <c r="Q82" s="28"/>
      <c r="R82" s="28"/>
      <c r="S82" s="113"/>
      <c r="T82" s="134"/>
      <c r="U82" s="133"/>
    </row>
    <row r="83" spans="2:21">
      <c r="B83" s="27"/>
      <c r="C83" s="28"/>
      <c r="D83" s="18"/>
      <c r="E83" s="18"/>
      <c r="F83" s="29"/>
      <c r="G83" s="18"/>
      <c r="H83" s="29"/>
      <c r="I83" s="28"/>
      <c r="J83" s="28"/>
      <c r="K83" s="28"/>
      <c r="L83" s="28"/>
      <c r="M83" s="28"/>
      <c r="N83" s="28"/>
      <c r="O83" s="30"/>
      <c r="P83" s="30"/>
      <c r="Q83" s="28"/>
      <c r="R83" s="28"/>
      <c r="S83" s="113"/>
      <c r="T83" s="134"/>
      <c r="U83" s="133"/>
    </row>
    <row r="84" spans="2:21">
      <c r="B84" s="27"/>
      <c r="C84" s="28"/>
      <c r="D84" s="18"/>
      <c r="E84" s="18"/>
      <c r="F84" s="29"/>
      <c r="G84" s="18"/>
      <c r="H84" s="29"/>
      <c r="I84" s="28"/>
      <c r="J84" s="28"/>
      <c r="K84" s="28"/>
      <c r="L84" s="28"/>
      <c r="M84" s="28"/>
      <c r="N84" s="28"/>
      <c r="O84" s="30"/>
      <c r="P84" s="30"/>
      <c r="Q84" s="28"/>
      <c r="R84" s="28"/>
      <c r="S84" s="113"/>
      <c r="T84" s="134"/>
      <c r="U84" s="133"/>
    </row>
    <row r="85" spans="2:21">
      <c r="B85" s="27"/>
      <c r="C85" s="28"/>
      <c r="D85" s="18"/>
      <c r="E85" s="18"/>
      <c r="F85" s="29"/>
      <c r="G85" s="18"/>
      <c r="H85" s="29"/>
      <c r="I85" s="28"/>
      <c r="J85" s="28"/>
      <c r="K85" s="28"/>
      <c r="L85" s="28"/>
      <c r="M85" s="28"/>
      <c r="N85" s="28"/>
      <c r="O85" s="30"/>
      <c r="P85" s="30"/>
      <c r="Q85" s="28"/>
      <c r="R85" s="28"/>
      <c r="S85" s="113"/>
      <c r="T85" s="134"/>
      <c r="U85" s="133"/>
    </row>
    <row r="86" spans="2:21">
      <c r="B86" s="27"/>
      <c r="C86" s="28"/>
      <c r="D86" s="18"/>
      <c r="E86" s="18"/>
      <c r="F86" s="29"/>
      <c r="G86" s="18"/>
      <c r="H86" s="29"/>
      <c r="I86" s="28"/>
      <c r="J86" s="28"/>
      <c r="K86" s="28"/>
      <c r="L86" s="28"/>
      <c r="M86" s="28"/>
      <c r="N86" s="28"/>
      <c r="O86" s="30"/>
      <c r="P86" s="30"/>
      <c r="Q86" s="28"/>
      <c r="R86" s="28"/>
      <c r="S86" s="113"/>
      <c r="T86" s="134"/>
      <c r="U86" s="133"/>
    </row>
    <row r="87" spans="2:21">
      <c r="B87" s="27"/>
      <c r="C87" s="28"/>
      <c r="D87" s="18"/>
      <c r="E87" s="18"/>
      <c r="F87" s="29"/>
      <c r="G87" s="18"/>
      <c r="H87" s="29"/>
      <c r="I87" s="28"/>
      <c r="J87" s="28"/>
      <c r="K87" s="28"/>
      <c r="L87" s="28"/>
      <c r="M87" s="28"/>
      <c r="N87" s="28"/>
      <c r="O87" s="30"/>
      <c r="P87" s="30"/>
      <c r="Q87" s="28"/>
      <c r="R87" s="28"/>
      <c r="S87" s="113"/>
      <c r="T87" s="134"/>
      <c r="U87" s="133"/>
    </row>
    <row r="88" spans="2:21">
      <c r="B88" s="27"/>
      <c r="C88" s="28"/>
      <c r="D88" s="18"/>
      <c r="E88" s="18"/>
      <c r="F88" s="29"/>
      <c r="G88" s="18"/>
      <c r="H88" s="29"/>
      <c r="I88" s="28"/>
      <c r="J88" s="28"/>
      <c r="K88" s="28"/>
      <c r="L88" s="28"/>
      <c r="M88" s="28"/>
      <c r="N88" s="28"/>
      <c r="O88" s="30"/>
      <c r="P88" s="30"/>
      <c r="Q88" s="28"/>
      <c r="R88" s="28"/>
      <c r="S88" s="113"/>
      <c r="T88" s="134"/>
      <c r="U88" s="133"/>
    </row>
    <row r="89" spans="2:21">
      <c r="B89" s="27"/>
      <c r="C89" s="28"/>
      <c r="D89" s="18"/>
      <c r="E89" s="18"/>
      <c r="F89" s="29"/>
      <c r="G89" s="18"/>
      <c r="H89" s="29"/>
      <c r="I89" s="28"/>
      <c r="J89" s="28"/>
      <c r="K89" s="28"/>
      <c r="L89" s="28"/>
      <c r="M89" s="28"/>
      <c r="N89" s="28"/>
      <c r="O89" s="30"/>
      <c r="P89" s="30"/>
      <c r="Q89" s="28"/>
      <c r="R89" s="28"/>
      <c r="S89" s="113"/>
      <c r="T89" s="134"/>
      <c r="U89" s="133"/>
    </row>
    <row r="90" spans="2:21">
      <c r="B90" s="27"/>
      <c r="C90" s="28"/>
      <c r="D90" s="18"/>
      <c r="E90" s="18"/>
      <c r="F90" s="29"/>
      <c r="G90" s="18"/>
      <c r="H90" s="29"/>
      <c r="I90" s="28"/>
      <c r="J90" s="28"/>
      <c r="K90" s="28"/>
      <c r="L90" s="28"/>
      <c r="M90" s="28"/>
      <c r="N90" s="28"/>
      <c r="O90" s="30"/>
      <c r="P90" s="30"/>
      <c r="Q90" s="28"/>
      <c r="R90" s="28"/>
      <c r="S90" s="113"/>
      <c r="T90" s="134"/>
      <c r="U90" s="133"/>
    </row>
    <row r="91" spans="2:21">
      <c r="B91" s="27"/>
      <c r="C91" s="28"/>
      <c r="D91" s="18"/>
      <c r="E91" s="18"/>
      <c r="F91" s="29"/>
      <c r="G91" s="18"/>
      <c r="H91" s="29"/>
      <c r="I91" s="28"/>
      <c r="J91" s="28"/>
      <c r="K91" s="28"/>
      <c r="L91" s="28"/>
      <c r="M91" s="28"/>
      <c r="N91" s="28"/>
      <c r="O91" s="30"/>
      <c r="P91" s="30"/>
      <c r="Q91" s="28"/>
      <c r="R91" s="28"/>
      <c r="S91" s="113"/>
      <c r="T91" s="134"/>
      <c r="U91" s="133"/>
    </row>
    <row r="92" spans="2:21">
      <c r="B92" s="27"/>
      <c r="C92" s="28"/>
      <c r="D92" s="18"/>
      <c r="E92" s="18"/>
      <c r="F92" s="29"/>
      <c r="G92" s="18"/>
      <c r="H92" s="29"/>
      <c r="I92" s="28"/>
      <c r="J92" s="28"/>
      <c r="K92" s="28"/>
      <c r="L92" s="28"/>
      <c r="M92" s="28"/>
      <c r="N92" s="28"/>
      <c r="O92" s="30"/>
      <c r="P92" s="30"/>
      <c r="Q92" s="28"/>
      <c r="R92" s="28"/>
      <c r="S92" s="113"/>
      <c r="T92" s="134"/>
      <c r="U92" s="133"/>
    </row>
    <row r="93" spans="2:21">
      <c r="B93" s="27"/>
      <c r="C93" s="28"/>
      <c r="D93" s="18"/>
      <c r="E93" s="18"/>
      <c r="F93" s="29"/>
      <c r="G93" s="18"/>
      <c r="H93" s="29"/>
      <c r="I93" s="28"/>
      <c r="J93" s="28"/>
      <c r="K93" s="28"/>
      <c r="L93" s="28"/>
      <c r="M93" s="28"/>
      <c r="N93" s="28"/>
      <c r="O93" s="30"/>
      <c r="P93" s="30"/>
      <c r="Q93" s="28"/>
      <c r="R93" s="28"/>
      <c r="S93" s="113"/>
      <c r="T93" s="134"/>
      <c r="U93" s="133"/>
    </row>
    <row r="94" spans="2:21">
      <c r="B94" s="27"/>
      <c r="C94" s="28"/>
      <c r="D94" s="18"/>
      <c r="E94" s="18"/>
      <c r="F94" s="29"/>
      <c r="G94" s="18"/>
      <c r="H94" s="29"/>
      <c r="I94" s="28"/>
      <c r="J94" s="28"/>
      <c r="K94" s="28"/>
      <c r="L94" s="28"/>
      <c r="M94" s="28"/>
      <c r="N94" s="28"/>
      <c r="O94" s="30"/>
      <c r="P94" s="30"/>
      <c r="Q94" s="28"/>
      <c r="R94" s="28"/>
      <c r="S94" s="113"/>
      <c r="T94" s="134"/>
      <c r="U94" s="133"/>
    </row>
    <row r="95" spans="2:21">
      <c r="B95" s="27"/>
      <c r="C95" s="28"/>
      <c r="D95" s="18"/>
      <c r="E95" s="18"/>
      <c r="F95" s="29"/>
      <c r="G95" s="18"/>
      <c r="H95" s="29"/>
      <c r="I95" s="28"/>
      <c r="J95" s="28"/>
      <c r="K95" s="28"/>
      <c r="L95" s="28"/>
      <c r="M95" s="28"/>
      <c r="N95" s="28"/>
      <c r="O95" s="30"/>
      <c r="P95" s="30"/>
      <c r="Q95" s="28"/>
      <c r="R95" s="28"/>
      <c r="S95" s="113"/>
      <c r="T95" s="134"/>
      <c r="U95" s="133"/>
    </row>
    <row r="96" spans="2:21">
      <c r="B96" s="27"/>
      <c r="C96" s="28"/>
      <c r="D96" s="18"/>
      <c r="E96" s="18"/>
      <c r="F96" s="29"/>
      <c r="G96" s="18"/>
      <c r="H96" s="29"/>
      <c r="I96" s="28"/>
      <c r="J96" s="28"/>
      <c r="K96" s="28"/>
      <c r="L96" s="28"/>
      <c r="M96" s="28"/>
      <c r="N96" s="28"/>
      <c r="O96" s="30"/>
      <c r="P96" s="30"/>
      <c r="Q96" s="28"/>
      <c r="R96" s="28"/>
      <c r="S96" s="113"/>
      <c r="T96" s="134"/>
      <c r="U96" s="133"/>
    </row>
    <row r="97" spans="2:21">
      <c r="B97" s="27"/>
      <c r="C97" s="28"/>
      <c r="D97" s="18"/>
      <c r="E97" s="18"/>
      <c r="F97" s="29"/>
      <c r="G97" s="18"/>
      <c r="H97" s="29"/>
      <c r="I97" s="28"/>
      <c r="J97" s="28"/>
      <c r="K97" s="28"/>
      <c r="L97" s="28"/>
      <c r="M97" s="28"/>
      <c r="N97" s="28"/>
      <c r="O97" s="30"/>
      <c r="P97" s="30"/>
      <c r="Q97" s="28"/>
      <c r="R97" s="28"/>
      <c r="S97" s="113"/>
      <c r="T97" s="134"/>
      <c r="U97" s="133"/>
    </row>
    <row r="98" spans="2:21">
      <c r="B98" s="27"/>
      <c r="C98" s="28"/>
      <c r="D98" s="18"/>
      <c r="E98" s="18"/>
      <c r="F98" s="29"/>
      <c r="G98" s="18"/>
      <c r="H98" s="29"/>
      <c r="I98" s="28"/>
      <c r="J98" s="28"/>
      <c r="K98" s="28"/>
      <c r="L98" s="28"/>
      <c r="M98" s="28"/>
      <c r="N98" s="28"/>
      <c r="O98" s="30"/>
      <c r="P98" s="30"/>
      <c r="Q98" s="28"/>
      <c r="R98" s="28"/>
      <c r="S98" s="113"/>
      <c r="T98" s="134"/>
      <c r="U98" s="133"/>
    </row>
    <row r="99" spans="2:21">
      <c r="B99" s="27"/>
      <c r="C99" s="28"/>
      <c r="D99" s="18"/>
      <c r="E99" s="18"/>
      <c r="F99" s="29"/>
      <c r="G99" s="18"/>
      <c r="H99" s="29"/>
      <c r="I99" s="28"/>
      <c r="J99" s="28"/>
      <c r="K99" s="28"/>
      <c r="L99" s="28"/>
      <c r="M99" s="28"/>
      <c r="N99" s="28"/>
      <c r="O99" s="30"/>
      <c r="P99" s="30"/>
      <c r="Q99" s="28"/>
      <c r="R99" s="28"/>
      <c r="S99" s="113"/>
      <c r="T99" s="134"/>
      <c r="U99" s="133"/>
    </row>
    <row r="100" spans="2:21">
      <c r="B100" s="27"/>
      <c r="C100" s="28"/>
      <c r="D100" s="18"/>
      <c r="E100" s="18"/>
      <c r="F100" s="29"/>
      <c r="G100" s="18"/>
      <c r="H100" s="29"/>
      <c r="I100" s="28"/>
      <c r="J100" s="28"/>
      <c r="K100" s="28"/>
      <c r="L100" s="28"/>
      <c r="M100" s="28"/>
      <c r="N100" s="28"/>
      <c r="O100" s="30"/>
      <c r="P100" s="30"/>
      <c r="Q100" s="28"/>
      <c r="R100" s="28"/>
      <c r="S100" s="113"/>
      <c r="T100" s="134"/>
      <c r="U100" s="133"/>
    </row>
    <row r="101" spans="2:21">
      <c r="B101" s="27"/>
      <c r="C101" s="28"/>
      <c r="D101" s="18"/>
      <c r="E101" s="18"/>
      <c r="F101" s="29"/>
      <c r="G101" s="18"/>
      <c r="H101" s="29"/>
      <c r="I101" s="28"/>
      <c r="J101" s="28"/>
      <c r="K101" s="28"/>
      <c r="L101" s="28"/>
      <c r="M101" s="28"/>
      <c r="N101" s="28"/>
      <c r="O101" s="30"/>
      <c r="P101" s="30"/>
      <c r="Q101" s="28"/>
      <c r="R101" s="28"/>
      <c r="S101" s="113"/>
      <c r="T101" s="134"/>
      <c r="U101" s="133"/>
    </row>
    <row r="102" spans="2:21">
      <c r="B102" s="27"/>
      <c r="C102" s="28"/>
      <c r="D102" s="18"/>
      <c r="E102" s="18"/>
      <c r="F102" s="29"/>
      <c r="G102" s="18"/>
      <c r="H102" s="29"/>
      <c r="I102" s="28"/>
      <c r="J102" s="28"/>
      <c r="K102" s="28"/>
      <c r="L102" s="28"/>
      <c r="M102" s="28"/>
      <c r="N102" s="28"/>
      <c r="O102" s="30"/>
      <c r="P102" s="30"/>
      <c r="Q102" s="28"/>
      <c r="R102" s="28"/>
      <c r="S102" s="113"/>
      <c r="T102" s="134"/>
      <c r="U102" s="133"/>
    </row>
    <row r="103" spans="2:21">
      <c r="B103" s="27"/>
      <c r="C103" s="28"/>
      <c r="D103" s="18"/>
      <c r="E103" s="18"/>
      <c r="F103" s="29"/>
      <c r="G103" s="18"/>
      <c r="H103" s="29"/>
      <c r="I103" s="28"/>
      <c r="J103" s="28"/>
      <c r="K103" s="28"/>
      <c r="L103" s="28"/>
      <c r="M103" s="28"/>
      <c r="N103" s="28"/>
      <c r="O103" s="30"/>
      <c r="P103" s="30"/>
      <c r="Q103" s="28"/>
      <c r="R103" s="28"/>
      <c r="S103" s="113"/>
      <c r="T103" s="134"/>
      <c r="U103" s="133"/>
    </row>
    <row r="104" spans="2:21">
      <c r="B104" s="27"/>
      <c r="C104" s="28"/>
      <c r="D104" s="18"/>
      <c r="E104" s="18"/>
      <c r="F104" s="29"/>
      <c r="G104" s="18"/>
      <c r="H104" s="29"/>
      <c r="I104" s="28"/>
      <c r="J104" s="28"/>
      <c r="K104" s="28"/>
      <c r="L104" s="28"/>
      <c r="M104" s="28"/>
      <c r="N104" s="28"/>
      <c r="O104" s="30"/>
      <c r="P104" s="30"/>
      <c r="Q104" s="28"/>
      <c r="R104" s="28"/>
      <c r="S104" s="113"/>
      <c r="T104" s="134"/>
      <c r="U104" s="133"/>
    </row>
    <row r="105" spans="2:21">
      <c r="B105" s="27"/>
      <c r="C105" s="28"/>
      <c r="D105" s="18"/>
      <c r="E105" s="18"/>
      <c r="F105" s="29"/>
      <c r="G105" s="18"/>
      <c r="H105" s="29"/>
      <c r="I105" s="28"/>
      <c r="J105" s="28"/>
      <c r="K105" s="28"/>
      <c r="L105" s="28"/>
      <c r="M105" s="28"/>
      <c r="N105" s="28"/>
      <c r="O105" s="30"/>
      <c r="P105" s="30"/>
      <c r="Q105" s="28"/>
      <c r="R105" s="28"/>
      <c r="S105" s="113"/>
      <c r="T105" s="134"/>
      <c r="U105" s="133"/>
    </row>
    <row r="106" spans="2:21">
      <c r="B106" s="27"/>
      <c r="C106" s="28"/>
      <c r="D106" s="18"/>
      <c r="E106" s="18"/>
      <c r="F106" s="29"/>
      <c r="G106" s="18"/>
      <c r="H106" s="29"/>
      <c r="I106" s="28"/>
      <c r="J106" s="28"/>
      <c r="K106" s="28"/>
      <c r="L106" s="28"/>
      <c r="M106" s="28"/>
      <c r="N106" s="28"/>
      <c r="O106" s="30"/>
      <c r="P106" s="30"/>
      <c r="Q106" s="28"/>
      <c r="R106" s="28"/>
      <c r="S106" s="113"/>
      <c r="T106" s="134"/>
      <c r="U106" s="133"/>
    </row>
    <row r="107" spans="2:21">
      <c r="B107" s="27"/>
      <c r="C107" s="28"/>
      <c r="D107" s="18"/>
      <c r="E107" s="18"/>
      <c r="F107" s="29"/>
      <c r="G107" s="18"/>
      <c r="H107" s="29"/>
      <c r="I107" s="28"/>
      <c r="J107" s="28"/>
      <c r="K107" s="28"/>
      <c r="L107" s="28"/>
      <c r="M107" s="28"/>
      <c r="N107" s="28"/>
      <c r="O107" s="30"/>
      <c r="P107" s="30"/>
      <c r="Q107" s="28"/>
      <c r="R107" s="28"/>
      <c r="S107" s="113"/>
      <c r="T107" s="134"/>
      <c r="U107" s="133"/>
    </row>
    <row r="108" spans="2:21">
      <c r="B108" s="27"/>
      <c r="C108" s="28"/>
      <c r="D108" s="18"/>
      <c r="E108" s="18"/>
      <c r="F108" s="29"/>
      <c r="G108" s="18"/>
      <c r="H108" s="29"/>
      <c r="I108" s="28"/>
      <c r="J108" s="28"/>
      <c r="K108" s="28"/>
      <c r="L108" s="28"/>
      <c r="M108" s="28"/>
      <c r="N108" s="28"/>
      <c r="O108" s="30"/>
      <c r="P108" s="30"/>
      <c r="Q108" s="28"/>
      <c r="R108" s="28"/>
      <c r="S108" s="113"/>
      <c r="T108" s="134"/>
      <c r="U108" s="133"/>
    </row>
    <row r="109" spans="2:21">
      <c r="B109" s="27"/>
      <c r="C109" s="28"/>
      <c r="D109" s="18"/>
      <c r="E109" s="18"/>
      <c r="F109" s="29"/>
      <c r="G109" s="18"/>
      <c r="H109" s="29"/>
      <c r="I109" s="28"/>
      <c r="J109" s="28"/>
      <c r="K109" s="28"/>
      <c r="L109" s="28"/>
      <c r="M109" s="28"/>
      <c r="N109" s="28"/>
      <c r="O109" s="30"/>
      <c r="P109" s="30"/>
      <c r="Q109" s="28"/>
      <c r="R109" s="28"/>
      <c r="S109" s="113"/>
      <c r="T109" s="134"/>
      <c r="U109" s="133"/>
    </row>
    <row r="110" spans="2:21">
      <c r="B110" s="27"/>
      <c r="C110" s="28"/>
      <c r="D110" s="18"/>
      <c r="E110" s="18"/>
      <c r="F110" s="29"/>
      <c r="G110" s="18"/>
      <c r="H110" s="29"/>
      <c r="I110" s="28"/>
      <c r="J110" s="28"/>
      <c r="K110" s="28"/>
      <c r="L110" s="28"/>
      <c r="M110" s="28"/>
      <c r="N110" s="28"/>
      <c r="O110" s="30"/>
      <c r="P110" s="30"/>
      <c r="Q110" s="28"/>
      <c r="R110" s="28"/>
      <c r="S110" s="113"/>
      <c r="T110" s="134"/>
      <c r="U110" s="133"/>
    </row>
    <row r="111" spans="2:21">
      <c r="B111" s="27"/>
      <c r="C111" s="28"/>
      <c r="D111" s="18"/>
      <c r="E111" s="18"/>
      <c r="F111" s="29"/>
      <c r="G111" s="18"/>
      <c r="H111" s="29"/>
      <c r="I111" s="28"/>
      <c r="J111" s="28"/>
      <c r="K111" s="28"/>
      <c r="L111" s="28"/>
      <c r="M111" s="28"/>
      <c r="N111" s="28"/>
      <c r="O111" s="30"/>
      <c r="P111" s="30"/>
      <c r="Q111" s="28"/>
      <c r="R111" s="28"/>
      <c r="S111" s="113"/>
      <c r="T111" s="134"/>
      <c r="U111" s="133"/>
    </row>
    <row r="112" spans="2:21">
      <c r="B112" s="27"/>
      <c r="C112" s="28"/>
      <c r="D112" s="18"/>
      <c r="E112" s="18"/>
      <c r="F112" s="29"/>
      <c r="G112" s="18"/>
      <c r="H112" s="29"/>
      <c r="I112" s="28"/>
      <c r="J112" s="28"/>
      <c r="K112" s="28"/>
      <c r="L112" s="28"/>
      <c r="M112" s="28"/>
      <c r="N112" s="28"/>
      <c r="O112" s="30"/>
      <c r="P112" s="30"/>
      <c r="Q112" s="28"/>
      <c r="R112" s="28"/>
      <c r="S112" s="113"/>
      <c r="T112" s="134"/>
      <c r="U112" s="133"/>
    </row>
    <row r="113" spans="2:21">
      <c r="B113" s="27"/>
      <c r="C113" s="28"/>
      <c r="D113" s="18"/>
      <c r="E113" s="18"/>
      <c r="F113" s="29"/>
      <c r="G113" s="18"/>
      <c r="H113" s="29"/>
      <c r="I113" s="28"/>
      <c r="J113" s="28"/>
      <c r="K113" s="28"/>
      <c r="L113" s="28"/>
      <c r="M113" s="28"/>
      <c r="N113" s="28"/>
      <c r="O113" s="30"/>
      <c r="P113" s="30"/>
      <c r="Q113" s="28"/>
      <c r="R113" s="28"/>
      <c r="S113" s="113"/>
      <c r="T113" s="134"/>
      <c r="U113" s="133"/>
    </row>
    <row r="114" spans="2:21">
      <c r="B114" s="27"/>
      <c r="C114" s="28"/>
      <c r="D114" s="18"/>
      <c r="E114" s="18"/>
      <c r="F114" s="29"/>
      <c r="G114" s="18"/>
      <c r="H114" s="29"/>
      <c r="I114" s="28"/>
      <c r="J114" s="28"/>
      <c r="K114" s="28"/>
      <c r="L114" s="28"/>
      <c r="M114" s="28"/>
      <c r="N114" s="28"/>
      <c r="O114" s="30"/>
      <c r="P114" s="30"/>
      <c r="Q114" s="28"/>
      <c r="R114" s="28"/>
      <c r="S114" s="113"/>
      <c r="T114" s="134"/>
      <c r="U114" s="133"/>
    </row>
    <row r="115" spans="2:21">
      <c r="B115" s="27"/>
      <c r="C115" s="28"/>
      <c r="D115" s="18"/>
      <c r="E115" s="18"/>
      <c r="F115" s="29"/>
      <c r="G115" s="18"/>
      <c r="H115" s="29"/>
      <c r="I115" s="28"/>
      <c r="J115" s="28"/>
      <c r="K115" s="28"/>
      <c r="L115" s="28"/>
      <c r="M115" s="28"/>
      <c r="N115" s="28"/>
      <c r="O115" s="30"/>
      <c r="P115" s="30"/>
      <c r="Q115" s="28"/>
      <c r="R115" s="28"/>
      <c r="S115" s="113"/>
      <c r="T115" s="134"/>
      <c r="U115" s="133"/>
    </row>
    <row r="116" spans="2:21">
      <c r="B116" s="27"/>
      <c r="C116" s="28"/>
      <c r="D116" s="18"/>
      <c r="E116" s="18"/>
      <c r="F116" s="29"/>
      <c r="G116" s="18"/>
      <c r="H116" s="29"/>
      <c r="I116" s="28"/>
      <c r="J116" s="28"/>
      <c r="K116" s="28"/>
      <c r="L116" s="28"/>
      <c r="M116" s="28"/>
      <c r="N116" s="28"/>
      <c r="O116" s="30"/>
      <c r="P116" s="30"/>
      <c r="Q116" s="28"/>
      <c r="R116" s="28"/>
      <c r="S116" s="113"/>
      <c r="T116" s="134"/>
      <c r="U116" s="133"/>
    </row>
    <row r="117" spans="2:21">
      <c r="B117" s="27"/>
      <c r="C117" s="28"/>
      <c r="D117" s="18"/>
      <c r="E117" s="18"/>
      <c r="F117" s="29"/>
      <c r="G117" s="18"/>
      <c r="H117" s="29"/>
      <c r="I117" s="28"/>
      <c r="J117" s="28"/>
      <c r="K117" s="28"/>
      <c r="L117" s="28"/>
      <c r="M117" s="28"/>
      <c r="N117" s="28"/>
      <c r="O117" s="30"/>
      <c r="P117" s="30"/>
      <c r="Q117" s="28"/>
      <c r="R117" s="28"/>
      <c r="S117" s="113"/>
      <c r="T117" s="134"/>
      <c r="U117" s="133"/>
    </row>
    <row r="118" spans="2:21">
      <c r="B118" s="27"/>
      <c r="C118" s="28"/>
      <c r="D118" s="18"/>
      <c r="E118" s="18"/>
      <c r="F118" s="29"/>
      <c r="G118" s="18"/>
      <c r="H118" s="29"/>
      <c r="I118" s="28"/>
      <c r="J118" s="28"/>
      <c r="K118" s="28"/>
      <c r="L118" s="28"/>
      <c r="M118" s="28"/>
      <c r="N118" s="28"/>
      <c r="O118" s="30"/>
      <c r="P118" s="30"/>
      <c r="Q118" s="28"/>
      <c r="R118" s="28"/>
      <c r="S118" s="113"/>
      <c r="T118" s="134"/>
      <c r="U118" s="133"/>
    </row>
    <row r="119" spans="2:21">
      <c r="B119" s="27"/>
      <c r="C119" s="28"/>
      <c r="D119" s="18"/>
      <c r="E119" s="18"/>
      <c r="F119" s="29"/>
      <c r="G119" s="18"/>
      <c r="H119" s="29"/>
      <c r="I119" s="28"/>
      <c r="J119" s="28"/>
      <c r="K119" s="28"/>
      <c r="L119" s="28"/>
      <c r="M119" s="28"/>
      <c r="N119" s="28"/>
      <c r="O119" s="30"/>
      <c r="P119" s="30"/>
      <c r="Q119" s="28"/>
      <c r="R119" s="28"/>
      <c r="U119" s="133"/>
    </row>
    <row r="120" spans="2:21">
      <c r="B120" s="27"/>
      <c r="C120" s="28"/>
      <c r="D120" s="18"/>
      <c r="E120" s="18"/>
      <c r="F120" s="29"/>
      <c r="G120" s="18"/>
      <c r="H120" s="29"/>
      <c r="I120" s="28"/>
      <c r="J120" s="28"/>
      <c r="K120" s="28"/>
      <c r="L120" s="28"/>
      <c r="M120" s="28"/>
      <c r="N120" s="28"/>
      <c r="O120" s="30"/>
      <c r="P120" s="30"/>
    </row>
    <row r="121" spans="2:21">
      <c r="B121" s="27"/>
      <c r="C121" s="28"/>
      <c r="D121" s="18"/>
      <c r="E121" s="18"/>
      <c r="F121" s="29"/>
      <c r="G121" s="18"/>
      <c r="H121" s="29"/>
      <c r="I121" s="28"/>
      <c r="J121" s="28"/>
      <c r="K121" s="28"/>
      <c r="L121" s="28"/>
      <c r="M121" s="28"/>
      <c r="N121" s="28"/>
      <c r="O121" s="30"/>
      <c r="P121" s="30"/>
    </row>
    <row r="122" spans="2:21">
      <c r="B122" s="27"/>
      <c r="C122" s="28"/>
      <c r="D122" s="18"/>
      <c r="E122" s="18"/>
      <c r="F122" s="29"/>
      <c r="G122" s="18"/>
      <c r="H122" s="29"/>
      <c r="I122" s="28"/>
      <c r="J122" s="28"/>
      <c r="K122" s="28"/>
      <c r="L122" s="28"/>
      <c r="M122" s="28"/>
      <c r="N122" s="28"/>
      <c r="O122" s="30"/>
      <c r="P122" s="30"/>
    </row>
    <row r="123" spans="2:21">
      <c r="B123" s="27"/>
      <c r="C123" s="28"/>
      <c r="D123" s="18"/>
      <c r="E123" s="18"/>
      <c r="F123" s="29"/>
      <c r="G123" s="18"/>
      <c r="H123" s="29"/>
      <c r="I123" s="28"/>
      <c r="J123" s="28"/>
      <c r="K123" s="28"/>
      <c r="L123" s="28"/>
      <c r="M123" s="28"/>
      <c r="N123" s="28"/>
      <c r="O123" s="30"/>
    </row>
    <row r="124" spans="2:21">
      <c r="B124" s="27"/>
      <c r="C124" s="28"/>
      <c r="D124" s="18"/>
      <c r="E124" s="18"/>
      <c r="F124" s="29"/>
      <c r="G124" s="18"/>
      <c r="H124" s="29"/>
      <c r="I124" s="28"/>
      <c r="J124" s="28"/>
      <c r="K124" s="28"/>
      <c r="L124" s="28"/>
      <c r="M124" s="28"/>
      <c r="N124" s="28"/>
      <c r="O124" s="30"/>
    </row>
    <row r="125" spans="2:21">
      <c r="B125" s="27"/>
      <c r="C125" s="28"/>
      <c r="D125" s="18"/>
      <c r="E125" s="18"/>
      <c r="F125" s="29"/>
      <c r="G125" s="18"/>
      <c r="H125" s="29"/>
      <c r="I125" s="28"/>
      <c r="J125" s="28"/>
      <c r="K125" s="28"/>
      <c r="L125" s="28"/>
      <c r="M125" s="28"/>
      <c r="N125" s="28"/>
      <c r="O125" s="30"/>
    </row>
    <row r="126" spans="2:21">
      <c r="B126" s="27"/>
      <c r="C126" s="28"/>
      <c r="D126" s="18"/>
      <c r="E126" s="18"/>
      <c r="F126" s="29"/>
      <c r="G126" s="18"/>
    </row>
    <row r="127" spans="2:21">
      <c r="B127" s="27"/>
      <c r="C127" s="28"/>
      <c r="D127" s="18"/>
      <c r="E127" s="18"/>
      <c r="F127" s="29"/>
    </row>
  </sheetData>
  <sheetProtection sheet="1" selectLockedCells="1"/>
  <mergeCells count="4">
    <mergeCell ref="Y6:Z6"/>
    <mergeCell ref="AB6:AC6"/>
    <mergeCell ref="B13:D13"/>
    <mergeCell ref="J13:L13"/>
  </mergeCells>
  <phoneticPr fontId="15" type="noConversion"/>
  <printOptions horizontalCentered="1"/>
  <pageMargins left="0.35" right="0.20972222222222223" top="0.27013888888888887" bottom="0.22013888888888888" header="0.51180555555555551" footer="0.51180555555555551"/>
  <pageSetup scale="99" firstPageNumber="0" orientation="landscape" horizontalDpi="300" verticalDpi="300"/>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C127"/>
  <sheetViews>
    <sheetView showGridLines="0" showRowColHeaders="0" showZeros="0" showOutlineSymbols="0" zoomScale="160" zoomScaleNormal="160" workbookViewId="0">
      <selection activeCell="E20" sqref="E20"/>
    </sheetView>
  </sheetViews>
  <sheetFormatPr baseColWidth="10" defaultColWidth="8" defaultRowHeight="11"/>
  <cols>
    <col min="1" max="1" width="8" style="18" customWidth="1"/>
    <col min="2" max="2" width="8.1640625" style="19" customWidth="1"/>
    <col min="3" max="3" width="6.6640625" style="20" customWidth="1"/>
    <col min="4" max="5" width="6.6640625" style="21" customWidth="1"/>
    <col min="6" max="6" width="6.6640625" style="22" customWidth="1"/>
    <col min="7" max="7" width="6.6640625" style="21" customWidth="1"/>
    <col min="8" max="8" width="6.6640625" style="22" customWidth="1"/>
    <col min="9" max="9" width="6.6640625" style="20" customWidth="1"/>
    <col min="10" max="10" width="9.6640625" style="20" customWidth="1"/>
    <col min="11" max="11" width="6.6640625" style="20" customWidth="1"/>
    <col min="12" max="12" width="5.6640625" style="20" customWidth="1"/>
    <col min="13" max="13" width="6.6640625" style="20" customWidth="1"/>
    <col min="14" max="14" width="8.6640625" style="20" customWidth="1"/>
    <col min="15" max="16" width="6.6640625" style="23" customWidth="1"/>
    <col min="17" max="17" width="5.5" style="20" customWidth="1"/>
    <col min="18" max="18" width="7.33203125" style="20" customWidth="1"/>
    <col min="19" max="19" width="6.33203125" style="24" customWidth="1"/>
    <col min="20" max="20" width="6.1640625" style="25" customWidth="1"/>
    <col min="21" max="21" width="6.5" style="26" customWidth="1"/>
    <col min="22" max="31" width="8" style="18" customWidth="1"/>
    <col min="32" max="16384" width="8" style="18"/>
  </cols>
  <sheetData>
    <row r="1" spans="1:29" s="31" customFormat="1" ht="12">
      <c r="A1" s="18"/>
      <c r="B1" s="27"/>
      <c r="C1" s="28"/>
      <c r="D1" s="18"/>
      <c r="E1" s="18"/>
      <c r="F1" s="29"/>
      <c r="G1" s="18"/>
      <c r="H1" s="29"/>
      <c r="I1" s="28"/>
      <c r="J1" s="28"/>
      <c r="K1" s="28"/>
      <c r="L1" s="28"/>
      <c r="M1" s="28"/>
      <c r="N1" s="28"/>
      <c r="O1" s="30"/>
      <c r="P1" s="30"/>
      <c r="Q1" s="28"/>
      <c r="R1" s="28"/>
      <c r="S1" s="32"/>
      <c r="T1" s="32"/>
      <c r="U1" s="33"/>
      <c r="V1" s="34"/>
    </row>
    <row r="2" spans="1:29" s="31" customFormat="1" ht="14">
      <c r="B2" s="36" t="s">
        <v>116</v>
      </c>
      <c r="C2" s="37"/>
      <c r="D2" s="38"/>
      <c r="E2" s="38"/>
      <c r="F2" s="39"/>
      <c r="G2" s="38"/>
      <c r="H2" s="38"/>
      <c r="I2" s="39"/>
      <c r="J2" s="38"/>
      <c r="K2" s="39"/>
      <c r="L2" s="37"/>
      <c r="M2" s="37"/>
      <c r="N2" s="37"/>
      <c r="O2" s="40"/>
      <c r="Q2" s="165"/>
      <c r="R2"/>
      <c r="S2" s="55"/>
      <c r="T2" s="32"/>
      <c r="U2" s="32"/>
      <c r="V2" s="33"/>
    </row>
    <row r="3" spans="1:29" s="31" customFormat="1" ht="14">
      <c r="B3" s="41"/>
      <c r="C3" s="42" t="s">
        <v>118</v>
      </c>
      <c r="D3" s="43" t="s">
        <v>78</v>
      </c>
      <c r="E3" s="44"/>
      <c r="F3" s="45" t="s">
        <v>119</v>
      </c>
      <c r="G3" s="46" t="s">
        <v>221</v>
      </c>
      <c r="H3" s="44"/>
      <c r="I3" s="45" t="s">
        <v>121</v>
      </c>
      <c r="J3" s="47"/>
      <c r="K3" s="48"/>
      <c r="L3" s="49" t="s">
        <v>122</v>
      </c>
      <c r="M3" s="50"/>
      <c r="N3" s="48" t="s">
        <v>123</v>
      </c>
      <c r="O3" s="51"/>
      <c r="Q3" s="165" t="s">
        <v>115</v>
      </c>
      <c r="R3"/>
      <c r="S3" s="54"/>
      <c r="T3" s="35"/>
      <c r="U3" s="35"/>
    </row>
    <row r="4" spans="1:29" s="31" customFormat="1" ht="14">
      <c r="F4" s="52"/>
      <c r="J4" s="53"/>
      <c r="K4" s="54"/>
      <c r="L4" s="55"/>
      <c r="M4" s="53"/>
      <c r="N4" s="54"/>
      <c r="O4" s="56"/>
      <c r="Q4" s="165" t="s">
        <v>199</v>
      </c>
      <c r="R4"/>
      <c r="S4" s="54"/>
      <c r="T4" s="35"/>
      <c r="U4" s="35"/>
    </row>
    <row r="5" spans="1:29" s="31" customFormat="1" ht="14">
      <c r="B5" s="169" t="s">
        <v>222</v>
      </c>
      <c r="C5" s="57"/>
      <c r="D5" s="57"/>
      <c r="E5" s="58"/>
      <c r="F5" s="250">
        <v>38</v>
      </c>
      <c r="N5" s="35"/>
      <c r="O5" s="32"/>
      <c r="Q5" s="165" t="s">
        <v>223</v>
      </c>
      <c r="R5"/>
      <c r="S5" s="81"/>
      <c r="Y5" s="36" t="s">
        <v>202</v>
      </c>
      <c r="Z5" s="37"/>
      <c r="AA5" s="38"/>
      <c r="AB5" s="38"/>
      <c r="AC5" s="40"/>
    </row>
    <row r="6" spans="1:29" s="31" customFormat="1" ht="14">
      <c r="B6" s="169" t="s">
        <v>129</v>
      </c>
      <c r="C6" s="57"/>
      <c r="D6" s="57"/>
      <c r="E6" s="58"/>
      <c r="F6" s="250">
        <v>1.5</v>
      </c>
      <c r="G6" s="32" t="s">
        <v>130</v>
      </c>
      <c r="J6" s="59" t="s">
        <v>131</v>
      </c>
      <c r="K6" s="60"/>
      <c r="L6" s="61"/>
      <c r="M6" s="62"/>
      <c r="N6" s="35"/>
      <c r="O6" s="32"/>
      <c r="Q6" s="165" t="s">
        <v>125</v>
      </c>
      <c r="R6"/>
      <c r="S6" s="81"/>
      <c r="Y6" s="270" t="s">
        <v>133</v>
      </c>
      <c r="Z6" s="270"/>
      <c r="AA6" s="63"/>
      <c r="AB6" s="271" t="s">
        <v>134</v>
      </c>
      <c r="AC6" s="271"/>
    </row>
    <row r="7" spans="1:29" s="31" customFormat="1" ht="14">
      <c r="B7" s="169" t="s">
        <v>135</v>
      </c>
      <c r="C7" s="57"/>
      <c r="D7" s="57"/>
      <c r="E7" s="58"/>
      <c r="F7" s="251">
        <f>Front_Passengers+Rear_Passengers+Baggage_1+Baggage_2</f>
        <v>635</v>
      </c>
      <c r="G7" s="32"/>
      <c r="J7" s="252" t="s">
        <v>136</v>
      </c>
      <c r="K7" s="253"/>
      <c r="L7" s="254"/>
      <c r="M7" s="255">
        <v>2300</v>
      </c>
      <c r="N7" s="35"/>
      <c r="O7" s="32"/>
      <c r="Q7" s="165" t="s">
        <v>224</v>
      </c>
      <c r="R7"/>
      <c r="S7" s="81"/>
      <c r="Y7" s="64" t="s">
        <v>138</v>
      </c>
      <c r="Z7" s="65" t="s">
        <v>139</v>
      </c>
      <c r="AA7" s="66"/>
      <c r="AB7" s="67" t="s">
        <v>140</v>
      </c>
      <c r="AC7" s="68" t="s">
        <v>139</v>
      </c>
    </row>
    <row r="8" spans="1:29" s="31" customFormat="1" ht="14">
      <c r="B8" s="166" t="s">
        <v>225</v>
      </c>
      <c r="C8" s="57"/>
      <c r="D8" s="256"/>
      <c r="E8" s="257"/>
      <c r="F8" s="251">
        <f>(Departure_Fuel)/7.6</f>
        <v>4.8684210526315788</v>
      </c>
      <c r="G8" s="32" t="s">
        <v>130</v>
      </c>
      <c r="J8" s="258" t="s">
        <v>142</v>
      </c>
      <c r="K8" s="69"/>
      <c r="L8" s="70"/>
      <c r="M8" s="259">
        <f>Total_Departure_Weight</f>
        <v>2297.16</v>
      </c>
      <c r="N8" s="71">
        <f>M8/M7</f>
        <v>0.99876521739130431</v>
      </c>
      <c r="O8" s="32" t="s">
        <v>143</v>
      </c>
      <c r="Q8" s="165" t="s">
        <v>226</v>
      </c>
      <c r="R8"/>
      <c r="S8" s="81"/>
      <c r="Y8" s="72">
        <v>52</v>
      </c>
      <c r="Z8" s="73">
        <v>1500</v>
      </c>
      <c r="AA8" s="74"/>
      <c r="AB8" s="84">
        <v>34.700000000000003</v>
      </c>
      <c r="AC8" s="76">
        <f>Z8</f>
        <v>1500</v>
      </c>
    </row>
    <row r="9" spans="1:29" s="31" customFormat="1" ht="13">
      <c r="B9" s="166" t="s">
        <v>145</v>
      </c>
      <c r="C9" s="57"/>
      <c r="D9" s="256"/>
      <c r="E9" s="257"/>
      <c r="F9" s="260">
        <f>F8-F6</f>
        <v>3.3684210526315788</v>
      </c>
      <c r="G9" s="32" t="s">
        <v>130</v>
      </c>
      <c r="J9" s="261" t="s">
        <v>146</v>
      </c>
      <c r="K9" s="77"/>
      <c r="L9" s="78"/>
      <c r="M9" s="79">
        <f>M7-M8</f>
        <v>2.8400000000001455</v>
      </c>
      <c r="N9" s="35"/>
      <c r="O9" s="32"/>
      <c r="Q9" s="165" t="s">
        <v>227</v>
      </c>
      <c r="S9" s="81"/>
      <c r="Y9" s="72">
        <v>68</v>
      </c>
      <c r="Z9" s="73">
        <v>1950</v>
      </c>
      <c r="AA9" s="74"/>
      <c r="AB9" s="84">
        <v>34.700000000000003</v>
      </c>
      <c r="AC9" s="76">
        <f>Z9</f>
        <v>1950</v>
      </c>
    </row>
    <row r="10" spans="1:29" s="31" customFormat="1" ht="13">
      <c r="B10" s="167" t="s">
        <v>228</v>
      </c>
      <c r="C10" s="18"/>
      <c r="D10" s="262"/>
      <c r="E10" s="263"/>
      <c r="F10" s="264"/>
      <c r="G10" s="32"/>
      <c r="J10" s="265"/>
      <c r="K10" s="28"/>
      <c r="L10" s="18"/>
      <c r="M10" s="154"/>
      <c r="N10" s="35"/>
      <c r="O10" s="32"/>
      <c r="Q10" s="165" t="s">
        <v>229</v>
      </c>
      <c r="S10" s="81"/>
      <c r="Y10" s="72">
        <v>88</v>
      </c>
      <c r="Z10" s="73">
        <v>2300</v>
      </c>
      <c r="AA10" s="74"/>
      <c r="AB10" s="84">
        <f>Y10*1000/Z10</f>
        <v>38.260869565217391</v>
      </c>
      <c r="AC10" s="76">
        <f>Z10</f>
        <v>2300</v>
      </c>
    </row>
    <row r="11" spans="1:29" s="31" customFormat="1" ht="12">
      <c r="B11" s="93"/>
      <c r="C11" s="32"/>
      <c r="D11" s="32"/>
      <c r="G11" s="54"/>
      <c r="I11" s="54"/>
      <c r="J11" s="32"/>
      <c r="K11" s="32"/>
      <c r="L11" s="32"/>
      <c r="M11" s="32"/>
      <c r="O11" s="82"/>
      <c r="Q11" s="81"/>
      <c r="S11" s="81"/>
      <c r="Y11" s="72">
        <v>108</v>
      </c>
      <c r="Z11" s="73">
        <v>2300</v>
      </c>
      <c r="AA11" s="74"/>
      <c r="AB11" s="84">
        <v>47.4</v>
      </c>
      <c r="AC11" s="76">
        <f>Z11</f>
        <v>2300</v>
      </c>
    </row>
    <row r="12" spans="1:29" s="31" customFormat="1" ht="12">
      <c r="B12" s="36" t="s">
        <v>148</v>
      </c>
      <c r="C12" s="37"/>
      <c r="D12" s="38"/>
      <c r="E12" s="38"/>
      <c r="F12" s="39"/>
      <c r="G12" s="40"/>
      <c r="J12" s="36" t="s">
        <v>149</v>
      </c>
      <c r="K12" s="37"/>
      <c r="L12" s="38"/>
      <c r="M12" s="38"/>
      <c r="N12" s="39"/>
      <c r="O12" s="40"/>
      <c r="Q12" s="83"/>
      <c r="R12" s="31" t="s">
        <v>150</v>
      </c>
      <c r="S12" s="81"/>
      <c r="Y12" s="72">
        <v>71</v>
      </c>
      <c r="Z12" s="73">
        <v>1500</v>
      </c>
      <c r="AA12" s="74"/>
      <c r="AB12" s="84">
        <v>47.4</v>
      </c>
      <c r="AC12" s="76">
        <f>Z12</f>
        <v>1500</v>
      </c>
    </row>
    <row r="13" spans="1:29" s="31" customFormat="1" ht="12.75" customHeight="1">
      <c r="B13" s="272" t="s">
        <v>151</v>
      </c>
      <c r="C13" s="272"/>
      <c r="D13" s="272"/>
      <c r="E13" s="86" t="s">
        <v>139</v>
      </c>
      <c r="F13" s="88" t="s">
        <v>152</v>
      </c>
      <c r="G13" s="89" t="s">
        <v>138</v>
      </c>
      <c r="J13" s="272" t="s">
        <v>151</v>
      </c>
      <c r="K13" s="272"/>
      <c r="L13" s="272"/>
      <c r="M13" s="86" t="s">
        <v>139</v>
      </c>
      <c r="N13" s="88" t="s">
        <v>152</v>
      </c>
      <c r="O13" s="89" t="s">
        <v>138</v>
      </c>
      <c r="P13" s="81"/>
      <c r="S13" s="81"/>
      <c r="Y13" s="90" t="s">
        <v>209</v>
      </c>
      <c r="Z13" s="90"/>
      <c r="AA13" s="90"/>
    </row>
    <row r="14" spans="1:29" s="31" customFormat="1" ht="12">
      <c r="B14" s="91"/>
      <c r="C14" s="32"/>
      <c r="E14" s="92" t="s">
        <v>153</v>
      </c>
      <c r="F14" s="94" t="s">
        <v>154</v>
      </c>
      <c r="G14" s="95" t="s">
        <v>155</v>
      </c>
      <c r="J14" s="91"/>
      <c r="K14" s="32"/>
      <c r="M14" s="92" t="s">
        <v>153</v>
      </c>
      <c r="N14" s="94" t="s">
        <v>154</v>
      </c>
      <c r="O14" s="95" t="s">
        <v>155</v>
      </c>
      <c r="P14" s="81"/>
      <c r="S14" s="35"/>
      <c r="Y14" s="31" t="s">
        <v>210</v>
      </c>
      <c r="AB14" s="31" t="s">
        <v>211</v>
      </c>
    </row>
    <row r="15" spans="1:29" s="31" customFormat="1" ht="12">
      <c r="B15" s="96"/>
      <c r="C15" s="97"/>
      <c r="D15" s="98" t="s">
        <v>156</v>
      </c>
      <c r="E15" s="155">
        <v>1425.16</v>
      </c>
      <c r="F15" s="101">
        <f>IF(Empty_Weight,Empty_Moment*1000/Empty_Weight,"")</f>
        <v>39.897232591428327</v>
      </c>
      <c r="G15" s="102">
        <v>56.859940000000002</v>
      </c>
      <c r="J15" s="96"/>
      <c r="K15" s="97"/>
      <c r="L15" s="98" t="s">
        <v>156</v>
      </c>
      <c r="M15" s="99">
        <f>Empty_Weight</f>
        <v>1425.16</v>
      </c>
      <c r="N15" s="101">
        <f>Empty_Arm</f>
        <v>39.897232591428327</v>
      </c>
      <c r="O15" s="102">
        <f>Empty_Moment</f>
        <v>56.859940000000002</v>
      </c>
      <c r="P15" s="81"/>
      <c r="S15" s="35"/>
      <c r="V15" s="35"/>
      <c r="Y15" s="72">
        <v>52</v>
      </c>
      <c r="Z15" s="73">
        <v>1500</v>
      </c>
      <c r="AB15" s="84">
        <v>34.700000000000003</v>
      </c>
      <c r="AC15" s="76">
        <f>Z15</f>
        <v>1500</v>
      </c>
    </row>
    <row r="16" spans="1:29" s="31" customFormat="1" ht="12">
      <c r="B16" s="103"/>
      <c r="C16" s="104"/>
      <c r="D16" s="105" t="s">
        <v>157</v>
      </c>
      <c r="E16" s="106">
        <v>400</v>
      </c>
      <c r="F16" s="108">
        <v>37</v>
      </c>
      <c r="G16" s="109">
        <f>Front_Passengers*Front_Passenger_Arm/1000</f>
        <v>14.8</v>
      </c>
      <c r="J16" s="103"/>
      <c r="K16" s="104"/>
      <c r="L16" s="105" t="s">
        <v>157</v>
      </c>
      <c r="M16" s="110">
        <f>Front_Passengers</f>
        <v>400</v>
      </c>
      <c r="N16" s="108">
        <f>Front_Passenger_Arm</f>
        <v>37</v>
      </c>
      <c r="O16" s="109">
        <f>Front_Passenger_Moment</f>
        <v>14.8</v>
      </c>
      <c r="P16" s="81"/>
      <c r="R16" s="54"/>
      <c r="S16" s="35"/>
      <c r="V16" s="18"/>
      <c r="W16" s="18"/>
      <c r="Y16" s="72">
        <v>68</v>
      </c>
      <c r="Z16" s="73">
        <v>1950</v>
      </c>
      <c r="AB16" s="84">
        <v>34.700000000000003</v>
      </c>
      <c r="AC16" s="76">
        <f>Z16</f>
        <v>1950</v>
      </c>
    </row>
    <row r="17" spans="2:29" ht="12">
      <c r="B17" s="111"/>
      <c r="C17" s="104"/>
      <c r="D17" s="112" t="s">
        <v>158</v>
      </c>
      <c r="E17" s="106">
        <v>210</v>
      </c>
      <c r="F17" s="108">
        <v>73</v>
      </c>
      <c r="G17" s="109">
        <f>Rear_Passengers*Rear_Passenger_Arm/1000</f>
        <v>15.33</v>
      </c>
      <c r="H17" s="31"/>
      <c r="I17" s="31"/>
      <c r="J17" s="111"/>
      <c r="K17" s="104"/>
      <c r="L17" s="112" t="s">
        <v>158</v>
      </c>
      <c r="M17" s="110">
        <f>Rear_Passengers</f>
        <v>210</v>
      </c>
      <c r="N17" s="108">
        <f>Rear_Passenger_Arm</f>
        <v>73</v>
      </c>
      <c r="O17" s="109">
        <f>Rear_Passenger_Moment</f>
        <v>15.33</v>
      </c>
      <c r="P17" s="81"/>
      <c r="Q17" s="31"/>
      <c r="R17" s="54"/>
      <c r="S17" s="113"/>
      <c r="T17" s="18"/>
      <c r="U17" s="18"/>
      <c r="Y17" s="72">
        <v>71</v>
      </c>
      <c r="Z17" s="73">
        <v>2000</v>
      </c>
      <c r="AB17" s="84">
        <v>35.25</v>
      </c>
      <c r="AC17" s="76">
        <f>Z17</f>
        <v>2000</v>
      </c>
    </row>
    <row r="18" spans="2:29" ht="12">
      <c r="B18" s="111"/>
      <c r="C18" s="104"/>
      <c r="D18" s="112" t="s">
        <v>213</v>
      </c>
      <c r="E18" s="157">
        <v>15</v>
      </c>
      <c r="F18" s="108">
        <v>-13.33</v>
      </c>
      <c r="G18" s="109">
        <f>E18*F18/1000</f>
        <v>-0.19994999999999999</v>
      </c>
      <c r="H18" s="31"/>
      <c r="I18" s="31"/>
      <c r="J18" s="111"/>
      <c r="K18" s="104"/>
      <c r="L18" s="112" t="s">
        <v>213</v>
      </c>
      <c r="M18" s="110">
        <f>E18</f>
        <v>15</v>
      </c>
      <c r="N18" s="108">
        <v>-13.33</v>
      </c>
      <c r="O18" s="109">
        <f>M18*N18/1000</f>
        <v>-0.19994999999999999</v>
      </c>
      <c r="P18" s="31"/>
      <c r="Q18" s="28"/>
      <c r="R18" s="28"/>
      <c r="S18" s="113"/>
      <c r="T18" s="18"/>
      <c r="U18" s="18"/>
      <c r="Y18" s="72">
        <v>81</v>
      </c>
      <c r="Z18" s="73">
        <v>2000</v>
      </c>
      <c r="AB18" s="84">
        <f>Y18*1000/Z18</f>
        <v>40.5</v>
      </c>
      <c r="AC18" s="76">
        <f>Z18</f>
        <v>2000</v>
      </c>
    </row>
    <row r="19" spans="2:29" ht="12">
      <c r="B19" s="114"/>
      <c r="C19" s="104"/>
      <c r="D19" s="112" t="s">
        <v>159</v>
      </c>
      <c r="E19" s="106">
        <v>25</v>
      </c>
      <c r="F19" s="108">
        <v>95</v>
      </c>
      <c r="G19" s="109">
        <f>Baggage_1*Baggage_1_Arm/1000</f>
        <v>2.375</v>
      </c>
      <c r="H19" s="31"/>
      <c r="I19" s="31"/>
      <c r="J19" s="114"/>
      <c r="K19" s="104"/>
      <c r="L19" s="112" t="s">
        <v>160</v>
      </c>
      <c r="M19" s="110">
        <f>Baggage_1</f>
        <v>25</v>
      </c>
      <c r="N19" s="108">
        <f>Baggage_1_Arm</f>
        <v>95</v>
      </c>
      <c r="O19" s="109">
        <f>Baggage_1_Moment</f>
        <v>2.375</v>
      </c>
      <c r="P19" s="31"/>
      <c r="Q19" s="28"/>
      <c r="R19" s="28"/>
      <c r="S19" s="18"/>
      <c r="T19" s="18"/>
      <c r="U19" s="18"/>
      <c r="Y19" s="72">
        <v>61</v>
      </c>
      <c r="Z19" s="73">
        <v>1500</v>
      </c>
      <c r="AB19" s="84">
        <v>40.5</v>
      </c>
      <c r="AC19" s="76">
        <f>Z19</f>
        <v>1500</v>
      </c>
    </row>
    <row r="20" spans="2:29" ht="12">
      <c r="B20" s="114"/>
      <c r="C20" s="104"/>
      <c r="D20" s="112" t="s">
        <v>214</v>
      </c>
      <c r="E20" s="106">
        <v>0</v>
      </c>
      <c r="F20" s="108">
        <v>123</v>
      </c>
      <c r="G20" s="109">
        <f>Baggage_2*Baggage_2_Arm/1000</f>
        <v>0</v>
      </c>
      <c r="H20" s="31"/>
      <c r="I20" s="18"/>
      <c r="J20" s="114"/>
      <c r="K20" s="104"/>
      <c r="L20" s="112" t="s">
        <v>162</v>
      </c>
      <c r="M20" s="110">
        <f>Baggage_2</f>
        <v>0</v>
      </c>
      <c r="N20" s="108">
        <f>Baggage_2_Arm</f>
        <v>123</v>
      </c>
      <c r="O20" s="109">
        <f>Baggage_2_Moment</f>
        <v>0</v>
      </c>
      <c r="P20" s="31"/>
      <c r="Q20" s="18"/>
      <c r="R20" s="18"/>
      <c r="S20" s="18"/>
      <c r="T20" s="18"/>
      <c r="U20" s="18"/>
    </row>
    <row r="21" spans="2:29" ht="14">
      <c r="B21" s="111"/>
      <c r="C21" s="117" t="s">
        <v>163</v>
      </c>
      <c r="D21" s="108">
        <f>F5-Grnd_Ops_Fuel</f>
        <v>37</v>
      </c>
      <c r="E21" s="110">
        <f>Departure_Fuel*6</f>
        <v>222</v>
      </c>
      <c r="F21" s="156">
        <v>47.807017543859651</v>
      </c>
      <c r="G21" s="109">
        <f>Departure_Fuel_Weight*Fuel_Arm/1000</f>
        <v>10.613157894736842</v>
      </c>
      <c r="H21" s="31"/>
      <c r="I21" s="18"/>
      <c r="J21" s="111"/>
      <c r="K21" s="117" t="s">
        <v>215</v>
      </c>
      <c r="L21" s="108">
        <f>Departure_Fuel-F6*8.4</f>
        <v>24.4</v>
      </c>
      <c r="M21" s="110">
        <f>Arrival_Fuel*6</f>
        <v>146.39999999999998</v>
      </c>
      <c r="N21" s="108">
        <f>Fuel_Arm</f>
        <v>47.807017543859651</v>
      </c>
      <c r="O21" s="109">
        <f>Arrival_Fuel_Weight*Fuel_Arm/1000</f>
        <v>6.9989473684210513</v>
      </c>
      <c r="P21" s="30"/>
      <c r="Q21" s="18"/>
      <c r="R21" s="18"/>
      <c r="S21" s="18"/>
      <c r="T21" s="18"/>
      <c r="U21" s="18"/>
    </row>
    <row r="22" spans="2:29" ht="12">
      <c r="B22" s="111"/>
      <c r="C22" s="117" t="s">
        <v>165</v>
      </c>
      <c r="D22" s="120">
        <v>1</v>
      </c>
      <c r="E22" s="110"/>
      <c r="F22" s="108">
        <f>Fuel_Arm</f>
        <v>47.807017543859651</v>
      </c>
      <c r="G22" s="109">
        <f>Grnd_Ops_Fuel_Weight*Fuel_Arm/1000</f>
        <v>0</v>
      </c>
      <c r="H22" s="54"/>
      <c r="I22" s="18"/>
      <c r="J22" s="121"/>
      <c r="K22" s="122"/>
      <c r="L22" s="123" t="s">
        <v>166</v>
      </c>
      <c r="M22" s="124">
        <f>SUM(M15:M21)</f>
        <v>2221.56</v>
      </c>
      <c r="N22" s="125">
        <f>IF(Total_Arrival_Weight,Total_Arrival_Moment*1000/Total_Arrival_Weight,"")</f>
        <v>43.286671243820138</v>
      </c>
      <c r="O22" s="126">
        <f>SUM(O15:O21)</f>
        <v>96.16393736842106</v>
      </c>
      <c r="P22" s="30"/>
      <c r="Q22" s="18"/>
      <c r="R22" s="18"/>
      <c r="S22" s="18"/>
      <c r="T22" s="18"/>
      <c r="U22" s="18"/>
    </row>
    <row r="23" spans="2:29" ht="12">
      <c r="B23" s="121"/>
      <c r="C23" s="122"/>
      <c r="D23" s="123" t="s">
        <v>166</v>
      </c>
      <c r="E23" s="124">
        <f>SUM(E15:E22)</f>
        <v>2297.16</v>
      </c>
      <c r="F23" s="125">
        <f>IF(Total_Departure_Weight,Total_Departure_Moment*1000/Total_Departure_Weight,"")</f>
        <v>43.435436754399717</v>
      </c>
      <c r="G23" s="126">
        <f>SUM(G15:G22)</f>
        <v>99.778147894736847</v>
      </c>
      <c r="H23" s="54"/>
      <c r="I23" s="18"/>
      <c r="J23" s="128"/>
      <c r="K23" s="129"/>
      <c r="L23" s="130"/>
      <c r="M23" s="130"/>
      <c r="N23" s="131" t="s">
        <v>167</v>
      </c>
      <c r="O23" s="132">
        <f>Total_Arrival_Arm</f>
        <v>43.286671243820138</v>
      </c>
      <c r="P23" s="18"/>
      <c r="Q23" s="18"/>
      <c r="R23" s="18"/>
      <c r="S23" s="18"/>
      <c r="T23" s="18"/>
      <c r="U23" s="18"/>
    </row>
    <row r="24" spans="2:29" ht="12">
      <c r="B24" s="128"/>
      <c r="C24" s="129"/>
      <c r="D24" s="130"/>
      <c r="E24" s="130"/>
      <c r="F24" s="131" t="s">
        <v>167</v>
      </c>
      <c r="G24" s="132">
        <f>Total_Departure_Arm</f>
        <v>43.435436754399717</v>
      </c>
      <c r="H24" s="29"/>
      <c r="I24" s="28"/>
      <c r="J24" s="18"/>
      <c r="K24" s="18"/>
      <c r="L24" s="18"/>
      <c r="M24" s="18"/>
      <c r="N24" s="18"/>
      <c r="O24" s="30"/>
      <c r="P24" s="18"/>
      <c r="Q24" s="18"/>
      <c r="R24" s="18"/>
      <c r="S24" s="18"/>
      <c r="T24" s="18"/>
      <c r="U24" s="18"/>
    </row>
    <row r="25" spans="2:29">
      <c r="B25" s="18"/>
      <c r="C25" s="18"/>
      <c r="D25" s="18"/>
      <c r="E25" s="18"/>
      <c r="F25" s="18"/>
      <c r="G25" s="18"/>
      <c r="H25" s="29"/>
      <c r="I25" s="28"/>
      <c r="J25" s="18"/>
      <c r="K25" s="18"/>
      <c r="L25" s="18"/>
      <c r="M25" s="18"/>
      <c r="N25" s="18"/>
      <c r="O25" s="30"/>
      <c r="P25" s="18"/>
      <c r="Q25" s="18"/>
      <c r="R25" s="18"/>
      <c r="S25" s="18"/>
      <c r="T25" s="18"/>
      <c r="U25" s="133"/>
    </row>
    <row r="26" spans="2:29">
      <c r="B26" s="18"/>
      <c r="C26" s="18"/>
      <c r="D26" s="18"/>
      <c r="E26" s="18"/>
      <c r="F26" s="18"/>
      <c r="G26" s="18"/>
      <c r="H26" s="29"/>
      <c r="I26" s="28"/>
      <c r="J26" s="18"/>
      <c r="K26" s="18"/>
      <c r="L26" s="18"/>
      <c r="M26" s="18"/>
      <c r="N26" s="18"/>
      <c r="O26" s="18"/>
      <c r="P26" s="18"/>
      <c r="Q26" s="18"/>
      <c r="R26" s="18"/>
      <c r="S26" s="18"/>
      <c r="T26" s="18"/>
      <c r="U26" s="133"/>
    </row>
    <row r="27" spans="2:29">
      <c r="B27" s="18"/>
      <c r="C27" s="18"/>
      <c r="D27" s="18"/>
      <c r="E27" s="18"/>
      <c r="F27" s="18"/>
      <c r="G27" s="18"/>
      <c r="H27" s="29"/>
      <c r="I27" s="18"/>
      <c r="J27" s="18"/>
      <c r="K27" s="18"/>
      <c r="L27" s="18"/>
      <c r="M27" s="18"/>
      <c r="N27" s="18"/>
      <c r="O27" s="18"/>
      <c r="P27" s="18"/>
      <c r="Q27" s="18"/>
      <c r="R27" s="18"/>
      <c r="S27" s="18"/>
      <c r="T27" s="18"/>
      <c r="U27" s="133"/>
    </row>
    <row r="28" spans="2:29">
      <c r="B28" s="18"/>
      <c r="C28" s="18"/>
      <c r="D28" s="18"/>
      <c r="E28" s="18"/>
      <c r="F28" s="18"/>
      <c r="G28" s="18"/>
      <c r="H28" s="29"/>
      <c r="I28" s="28"/>
      <c r="J28" s="18"/>
      <c r="K28" s="18"/>
      <c r="L28" s="18"/>
      <c r="M28" s="18"/>
      <c r="N28" s="18"/>
      <c r="O28" s="18"/>
      <c r="P28" s="18"/>
      <c r="Q28" s="18"/>
      <c r="R28" s="18"/>
      <c r="S28" s="18"/>
      <c r="T28" s="18"/>
      <c r="U28" s="133"/>
    </row>
    <row r="29" spans="2:29">
      <c r="B29" s="18"/>
      <c r="C29" s="18"/>
      <c r="D29" s="18"/>
      <c r="E29" s="18"/>
      <c r="F29" s="18"/>
      <c r="G29" s="18"/>
      <c r="H29" s="29"/>
      <c r="I29" s="28"/>
      <c r="J29" s="18"/>
      <c r="K29" s="18"/>
      <c r="L29" s="18"/>
      <c r="M29" s="18"/>
      <c r="N29" s="18"/>
      <c r="O29" s="18"/>
      <c r="P29" s="18"/>
      <c r="Q29" s="18"/>
      <c r="R29" s="18"/>
      <c r="S29" s="18"/>
      <c r="T29" s="18"/>
      <c r="U29" s="133"/>
    </row>
    <row r="30" spans="2:29">
      <c r="B30" s="18"/>
      <c r="C30" s="18"/>
      <c r="D30" s="18"/>
      <c r="E30" s="18"/>
      <c r="F30" s="18"/>
      <c r="G30" s="18"/>
      <c r="H30" s="18"/>
      <c r="I30" s="18"/>
      <c r="J30" s="18"/>
      <c r="K30" s="18"/>
      <c r="L30" s="18"/>
      <c r="M30" s="18"/>
      <c r="N30" s="18"/>
      <c r="O30" s="18"/>
      <c r="P30" s="18"/>
      <c r="Q30" s="18"/>
      <c r="R30" s="18"/>
      <c r="S30" s="18"/>
      <c r="T30" s="18"/>
      <c r="U30" s="133"/>
    </row>
    <row r="31" spans="2:29">
      <c r="B31" s="18"/>
      <c r="C31" s="18"/>
      <c r="D31" s="18"/>
      <c r="E31" s="18"/>
      <c r="F31" s="18"/>
      <c r="G31" s="18"/>
      <c r="H31" s="18"/>
      <c r="I31" s="18"/>
      <c r="J31" s="18"/>
      <c r="K31" s="18"/>
      <c r="L31" s="18"/>
      <c r="M31" s="18"/>
      <c r="N31" s="18"/>
      <c r="O31" s="18"/>
      <c r="P31" s="18"/>
      <c r="Q31" s="18"/>
      <c r="R31" s="18"/>
      <c r="S31" s="18"/>
      <c r="T31" s="18"/>
      <c r="U31" s="133"/>
    </row>
    <row r="32" spans="2:29">
      <c r="B32" s="18"/>
      <c r="C32" s="18"/>
      <c r="D32" s="18"/>
      <c r="E32" s="18"/>
      <c r="F32" s="18"/>
      <c r="G32" s="18"/>
      <c r="H32" s="18"/>
      <c r="I32" s="18"/>
      <c r="J32" s="18"/>
      <c r="K32" s="18"/>
      <c r="L32" s="18"/>
      <c r="M32" s="18"/>
      <c r="N32" s="18"/>
      <c r="O32" s="18"/>
      <c r="P32" s="18"/>
      <c r="Q32" s="18"/>
      <c r="R32" s="18"/>
      <c r="S32" s="18"/>
      <c r="T32" s="18"/>
      <c r="U32" s="133"/>
    </row>
    <row r="33" spans="2:21">
      <c r="B33" s="18"/>
      <c r="C33" s="18"/>
      <c r="D33" s="18"/>
      <c r="E33" s="18"/>
      <c r="F33" s="18"/>
      <c r="G33" s="18"/>
      <c r="H33" s="18"/>
      <c r="I33" s="18"/>
      <c r="J33" s="28"/>
      <c r="K33" s="28"/>
      <c r="L33" s="28"/>
      <c r="M33" s="28"/>
      <c r="N33" s="28"/>
      <c r="O33" s="18"/>
      <c r="P33" s="18"/>
      <c r="Q33" s="18"/>
      <c r="R33" s="18"/>
      <c r="S33" s="18"/>
      <c r="T33" s="18"/>
      <c r="U33" s="133"/>
    </row>
    <row r="34" spans="2:21">
      <c r="B34" s="18"/>
      <c r="C34" s="18"/>
      <c r="D34" s="18"/>
      <c r="E34" s="18"/>
      <c r="F34" s="18"/>
      <c r="G34" s="18"/>
      <c r="H34" s="18"/>
      <c r="I34" s="18"/>
      <c r="J34" s="28"/>
      <c r="K34" s="28"/>
      <c r="L34" s="28"/>
      <c r="M34" s="28"/>
      <c r="N34" s="28"/>
      <c r="O34" s="18"/>
      <c r="P34" s="18"/>
      <c r="Q34" s="18"/>
      <c r="R34" s="18"/>
      <c r="S34" s="18"/>
      <c r="T34" s="18"/>
      <c r="U34" s="18"/>
    </row>
    <row r="35" spans="2:21">
      <c r="B35" s="18"/>
      <c r="C35" s="18"/>
      <c r="D35" s="18"/>
      <c r="E35" s="18"/>
      <c r="F35" s="18"/>
      <c r="G35" s="18"/>
      <c r="H35" s="18"/>
      <c r="I35" s="18"/>
      <c r="J35" s="28"/>
      <c r="K35" s="28"/>
      <c r="L35" s="28"/>
      <c r="M35" s="28"/>
      <c r="N35" s="28"/>
      <c r="O35" s="18"/>
      <c r="P35" s="18"/>
      <c r="Q35" s="133"/>
      <c r="R35" s="18"/>
      <c r="S35" s="18"/>
      <c r="T35" s="18"/>
      <c r="U35" s="18"/>
    </row>
    <row r="36" spans="2:21">
      <c r="B36" s="18"/>
      <c r="C36" s="18"/>
      <c r="D36" s="18"/>
      <c r="E36" s="18"/>
      <c r="F36" s="18"/>
      <c r="G36" s="18"/>
      <c r="H36" s="29"/>
      <c r="I36" s="28"/>
      <c r="J36" s="28"/>
      <c r="K36" s="28"/>
      <c r="L36" s="28"/>
      <c r="M36" s="28"/>
      <c r="N36" s="28"/>
      <c r="O36" s="18"/>
      <c r="P36" s="18"/>
      <c r="Q36" s="133"/>
      <c r="R36" s="18"/>
      <c r="S36" s="18"/>
      <c r="T36" s="18"/>
      <c r="U36" s="18"/>
    </row>
    <row r="37" spans="2:21">
      <c r="B37" s="27"/>
      <c r="C37" s="28"/>
      <c r="D37" s="18"/>
      <c r="E37" s="18"/>
      <c r="F37" s="29"/>
      <c r="G37" s="18"/>
      <c r="H37" s="29"/>
      <c r="I37" s="28"/>
      <c r="J37" s="28"/>
      <c r="K37" s="28"/>
      <c r="L37" s="28"/>
      <c r="M37" s="28"/>
      <c r="N37" s="28"/>
      <c r="O37" s="18"/>
      <c r="P37" s="18"/>
      <c r="Q37" s="18"/>
      <c r="R37" s="18"/>
      <c r="S37" s="18"/>
      <c r="T37" s="18"/>
      <c r="U37" s="18"/>
    </row>
    <row r="38" spans="2:21">
      <c r="B38" s="27"/>
      <c r="C38" s="28"/>
      <c r="D38" s="18"/>
      <c r="E38" s="18"/>
      <c r="F38" s="29"/>
      <c r="G38" s="18"/>
      <c r="H38" s="29"/>
      <c r="I38" s="28"/>
      <c r="J38" s="28"/>
      <c r="K38" s="28"/>
      <c r="L38" s="28"/>
      <c r="M38" s="28"/>
      <c r="N38" s="28"/>
      <c r="O38" s="18"/>
      <c r="P38" s="134"/>
      <c r="Q38" s="133"/>
      <c r="R38" s="18"/>
      <c r="S38" s="18"/>
      <c r="T38" s="18"/>
      <c r="U38" s="18"/>
    </row>
    <row r="39" spans="2:21">
      <c r="B39" s="27"/>
      <c r="C39" s="28"/>
      <c r="D39" s="18"/>
      <c r="E39" s="18"/>
      <c r="F39" s="29"/>
      <c r="G39" s="18"/>
      <c r="H39" s="29"/>
      <c r="I39" s="28"/>
      <c r="J39" s="28"/>
      <c r="K39" s="28"/>
      <c r="L39" s="28"/>
      <c r="M39" s="28"/>
      <c r="N39" s="28"/>
      <c r="O39" s="18"/>
      <c r="P39" s="134"/>
      <c r="Q39" s="133"/>
      <c r="R39" s="18"/>
      <c r="S39" s="18"/>
      <c r="T39" s="18"/>
      <c r="U39" s="18"/>
    </row>
    <row r="40" spans="2:21">
      <c r="B40" s="27"/>
      <c r="C40" s="28"/>
      <c r="D40" s="18"/>
      <c r="E40" s="18"/>
      <c r="F40" s="29"/>
      <c r="G40" s="18"/>
      <c r="H40" s="28"/>
      <c r="I40" s="28"/>
      <c r="J40" s="28"/>
      <c r="K40" s="30"/>
      <c r="L40" s="30"/>
      <c r="M40" s="28"/>
      <c r="N40" s="28"/>
      <c r="O40" s="18"/>
      <c r="P40" s="133"/>
      <c r="Q40" s="133"/>
      <c r="R40" s="18"/>
      <c r="S40" s="18"/>
      <c r="T40" s="18"/>
      <c r="U40" s="18"/>
    </row>
    <row r="41" spans="2:21">
      <c r="B41" s="18"/>
      <c r="C41" s="18"/>
      <c r="D41" s="29"/>
      <c r="E41" s="18"/>
      <c r="F41" s="18"/>
      <c r="G41" s="28"/>
      <c r="H41" s="28"/>
      <c r="I41" s="28"/>
      <c r="J41" s="28"/>
      <c r="K41" s="30"/>
      <c r="L41" s="30"/>
      <c r="M41" s="28"/>
      <c r="N41" s="28"/>
      <c r="O41" s="113"/>
      <c r="P41" s="134"/>
      <c r="Q41" s="134"/>
      <c r="R41" s="133"/>
      <c r="S41" s="113"/>
      <c r="T41" s="134"/>
      <c r="U41" s="18"/>
    </row>
    <row r="42" spans="2:21">
      <c r="B42" s="18"/>
      <c r="C42" s="18"/>
      <c r="D42" s="29"/>
      <c r="E42" s="18"/>
      <c r="F42" s="18"/>
      <c r="G42" s="28"/>
      <c r="H42" s="28"/>
      <c r="I42" s="28"/>
      <c r="J42" s="28"/>
      <c r="K42" s="30"/>
      <c r="L42" s="30"/>
      <c r="M42" s="28"/>
      <c r="N42" s="28"/>
      <c r="O42" s="113"/>
      <c r="P42" s="134"/>
      <c r="Q42" s="28"/>
      <c r="R42" s="28"/>
      <c r="S42" s="113"/>
      <c r="T42" s="134"/>
      <c r="U42" s="133"/>
    </row>
    <row r="43" spans="2:21">
      <c r="B43" s="18"/>
      <c r="C43" s="18"/>
      <c r="D43" s="29"/>
      <c r="E43" s="18"/>
      <c r="F43" s="18"/>
      <c r="G43" s="28"/>
      <c r="H43" s="28"/>
      <c r="I43" s="28"/>
      <c r="J43" s="30"/>
      <c r="K43" s="30"/>
      <c r="L43" s="28"/>
      <c r="M43" s="28"/>
      <c r="N43" s="113"/>
      <c r="O43" s="134"/>
      <c r="P43" s="134"/>
      <c r="Q43" s="28"/>
      <c r="R43" s="28"/>
      <c r="S43" s="113"/>
      <c r="T43" s="134"/>
      <c r="U43" s="133"/>
    </row>
    <row r="44" spans="2:21">
      <c r="B44" s="18"/>
      <c r="C44" s="18"/>
      <c r="D44" s="28"/>
      <c r="E44" s="18"/>
      <c r="F44" s="18"/>
      <c r="G44" s="28"/>
      <c r="H44" s="28"/>
      <c r="I44" s="28"/>
      <c r="J44" s="28"/>
      <c r="K44" s="30"/>
      <c r="L44" s="30"/>
      <c r="M44" s="28"/>
      <c r="N44" s="28"/>
      <c r="O44" s="113"/>
      <c r="P44" s="113"/>
      <c r="Q44" s="28"/>
      <c r="R44" s="28"/>
      <c r="S44" s="113"/>
      <c r="T44" s="134"/>
      <c r="U44" s="133"/>
    </row>
    <row r="45" spans="2:21">
      <c r="B45" s="27"/>
      <c r="C45" s="28"/>
      <c r="D45" s="135"/>
      <c r="E45" s="18"/>
      <c r="F45" s="18"/>
      <c r="G45" s="28"/>
      <c r="H45" s="28"/>
      <c r="I45" s="28"/>
      <c r="J45" s="30"/>
      <c r="K45" s="18" t="s">
        <v>168</v>
      </c>
      <c r="L45" s="28"/>
      <c r="M45" s="28"/>
      <c r="N45" s="113"/>
      <c r="O45" s="113"/>
      <c r="P45" s="30"/>
      <c r="Q45" s="28"/>
      <c r="R45" s="28"/>
      <c r="S45" s="113"/>
      <c r="T45" s="134"/>
      <c r="U45" s="133"/>
    </row>
    <row r="46" spans="2:21" ht="24">
      <c r="B46" s="18"/>
      <c r="C46" s="18"/>
      <c r="D46" s="136" t="s">
        <v>230</v>
      </c>
      <c r="E46" s="136" t="s">
        <v>218</v>
      </c>
      <c r="F46" s="137" t="s">
        <v>219</v>
      </c>
      <c r="G46" s="18"/>
      <c r="H46" s="18"/>
      <c r="I46" s="18"/>
      <c r="J46" s="138" t="s">
        <v>172</v>
      </c>
      <c r="K46" s="139" t="s">
        <v>173</v>
      </c>
      <c r="L46" s="140">
        <v>2500</v>
      </c>
      <c r="M46" s="140">
        <v>5000</v>
      </c>
      <c r="N46" s="140">
        <v>7500</v>
      </c>
      <c r="O46" s="140">
        <v>10000</v>
      </c>
      <c r="P46" s="30"/>
      <c r="Q46" s="28"/>
      <c r="R46" s="28"/>
      <c r="S46" s="113"/>
      <c r="T46" s="134"/>
      <c r="U46" s="133"/>
    </row>
    <row r="47" spans="2:21">
      <c r="B47" s="18"/>
      <c r="C47" s="141" t="s">
        <v>174</v>
      </c>
      <c r="D47" s="141">
        <v>112</v>
      </c>
      <c r="E47" s="142">
        <f>SQRT($E$23/2300)*D47</f>
        <v>111.93083081509099</v>
      </c>
      <c r="F47" s="142">
        <f>SQRT($M$22/2300)*D47</f>
        <v>110.07358929765834</v>
      </c>
      <c r="G47" s="18"/>
      <c r="H47" s="18"/>
      <c r="I47" s="143" t="s">
        <v>175</v>
      </c>
      <c r="J47" s="144">
        <v>68</v>
      </c>
      <c r="K47" s="145">
        <f>SQRT($E$23/2300)*J47</f>
        <v>67.958004423448102</v>
      </c>
      <c r="L47" s="145">
        <f>K47+1.25</f>
        <v>69.208004423448102</v>
      </c>
      <c r="M47" s="145">
        <f>L47+1.25</f>
        <v>70.458004423448102</v>
      </c>
      <c r="N47" s="145">
        <f>M47+1.25</f>
        <v>71.708004423448102</v>
      </c>
      <c r="O47" s="145">
        <f>N47+1.25</f>
        <v>72.958004423448102</v>
      </c>
      <c r="P47" s="30"/>
      <c r="Q47" s="28"/>
      <c r="R47" s="28"/>
      <c r="S47" s="113"/>
      <c r="T47" s="134"/>
      <c r="U47" s="133"/>
    </row>
    <row r="48" spans="2:21">
      <c r="B48" s="18"/>
      <c r="C48" s="141" t="s">
        <v>176</v>
      </c>
      <c r="D48" s="141">
        <v>80</v>
      </c>
      <c r="E48" s="142">
        <f>SQRT($E$23/2300)*D48</f>
        <v>79.950593439350698</v>
      </c>
      <c r="F48" s="142">
        <f>SQRT($M$22/2300)*D48</f>
        <v>78.62399235547025</v>
      </c>
      <c r="G48" s="18"/>
      <c r="H48" s="18"/>
      <c r="I48" s="147" t="s">
        <v>177</v>
      </c>
      <c r="J48" s="148">
        <v>91</v>
      </c>
      <c r="K48" s="149">
        <f>SQRT($E$23/2300)*J48</f>
        <v>90.943800037261425</v>
      </c>
      <c r="L48" s="149">
        <f>K48-1.5</f>
        <v>89.443800037261425</v>
      </c>
      <c r="M48" s="149">
        <f>L48-1.5</f>
        <v>87.943800037261425</v>
      </c>
      <c r="N48" s="149">
        <f>M48-1.5</f>
        <v>86.443800037261425</v>
      </c>
      <c r="O48" s="149">
        <f>N48-1.5</f>
        <v>84.943800037261425</v>
      </c>
      <c r="P48" s="30"/>
      <c r="Q48" s="28"/>
      <c r="R48" s="28"/>
      <c r="S48" s="113"/>
      <c r="T48" s="134"/>
      <c r="U48" s="133"/>
    </row>
    <row r="49" spans="2:21">
      <c r="B49" s="18"/>
      <c r="C49" s="147" t="s">
        <v>178</v>
      </c>
      <c r="D49" s="147">
        <v>54</v>
      </c>
      <c r="E49" s="150">
        <f>SQRT($E$23/2300)*D49</f>
        <v>53.966650571561722</v>
      </c>
      <c r="F49" s="150">
        <f>SQRT($M$22/2300)*D49</f>
        <v>53.071194839942414</v>
      </c>
      <c r="G49" s="18"/>
      <c r="H49" s="18"/>
      <c r="I49" s="18"/>
      <c r="J49" s="18"/>
      <c r="K49" s="18" t="s">
        <v>179</v>
      </c>
      <c r="L49" s="18"/>
      <c r="M49" s="18"/>
      <c r="N49" s="18"/>
      <c r="O49" s="18"/>
      <c r="P49" s="30"/>
      <c r="Q49" s="28"/>
      <c r="R49" s="28"/>
      <c r="S49" s="113"/>
      <c r="T49" s="134"/>
      <c r="U49" s="133"/>
    </row>
    <row r="50" spans="2:21">
      <c r="B50" s="18"/>
      <c r="C50" s="151" t="s">
        <v>180</v>
      </c>
      <c r="D50" s="151">
        <v>61</v>
      </c>
      <c r="E50" s="150">
        <f>SQRT($E$23/2300)*D50</f>
        <v>60.962327497504909</v>
      </c>
      <c r="F50" s="150">
        <f>SQRT($M$22/2300)*D50</f>
        <v>59.950794171046063</v>
      </c>
      <c r="G50" s="18"/>
      <c r="H50" s="18"/>
      <c r="I50" s="143" t="s">
        <v>175</v>
      </c>
      <c r="J50" s="144">
        <v>68</v>
      </c>
      <c r="K50" s="145">
        <f>SQRT($M$22/2300)*J50</f>
        <v>66.830393502149704</v>
      </c>
      <c r="L50" s="145">
        <f>K50+1.25</f>
        <v>68.080393502149704</v>
      </c>
      <c r="M50" s="145">
        <f>L50+1.25</f>
        <v>69.330393502149704</v>
      </c>
      <c r="N50" s="145">
        <f>M50+1.25</f>
        <v>70.580393502149704</v>
      </c>
      <c r="O50" s="145">
        <f>N50+1.25</f>
        <v>71.830393502149704</v>
      </c>
      <c r="P50" s="30"/>
      <c r="Q50" s="28"/>
      <c r="R50" s="28"/>
      <c r="S50" s="113"/>
      <c r="T50" s="134"/>
      <c r="U50" s="133"/>
    </row>
    <row r="51" spans="2:21">
      <c r="B51" s="144"/>
      <c r="C51" s="143" t="s">
        <v>181</v>
      </c>
      <c r="D51" s="153">
        <v>70</v>
      </c>
      <c r="E51" s="153">
        <f>SQRT($E$23/2300)*D51</f>
        <v>69.956769259431866</v>
      </c>
      <c r="F51" s="153">
        <f>SQRT($M$22/2300)*D51</f>
        <v>68.795993311036469</v>
      </c>
      <c r="G51" s="18"/>
      <c r="H51" s="18"/>
      <c r="I51" s="147" t="s">
        <v>177</v>
      </c>
      <c r="J51" s="148">
        <v>91</v>
      </c>
      <c r="K51" s="149">
        <f>SQRT($M$22/2300)*J51</f>
        <v>89.434791304347399</v>
      </c>
      <c r="L51" s="149">
        <f>K51-1.5</f>
        <v>87.934791304347399</v>
      </c>
      <c r="M51" s="149">
        <f>L51-1.5</f>
        <v>86.434791304347399</v>
      </c>
      <c r="N51" s="149">
        <f>M51-1.5</f>
        <v>84.934791304347399</v>
      </c>
      <c r="O51" s="149">
        <f>N51-1.5</f>
        <v>83.434791304347399</v>
      </c>
      <c r="P51" s="30"/>
      <c r="Q51" s="28"/>
      <c r="R51" s="28"/>
      <c r="S51" s="113"/>
      <c r="T51" s="134"/>
      <c r="U51" s="133"/>
    </row>
    <row r="52" spans="2:21">
      <c r="B52" s="18"/>
      <c r="C52" s="18"/>
      <c r="D52" s="18"/>
      <c r="E52" s="18"/>
      <c r="F52" s="18"/>
      <c r="G52" s="18"/>
      <c r="H52" s="18"/>
      <c r="I52" s="18"/>
      <c r="J52" s="18"/>
      <c r="K52" s="18"/>
      <c r="L52" s="28"/>
      <c r="M52" s="28"/>
      <c r="N52" s="28"/>
      <c r="O52" s="30"/>
      <c r="P52" s="30"/>
      <c r="Q52" s="28"/>
      <c r="R52" s="28"/>
      <c r="S52" s="113"/>
      <c r="T52" s="134"/>
      <c r="U52" s="133"/>
    </row>
    <row r="53" spans="2:21">
      <c r="B53" s="27"/>
      <c r="C53" s="28"/>
      <c r="D53" s="18"/>
      <c r="E53" s="18"/>
      <c r="F53" s="29"/>
      <c r="G53" s="18"/>
      <c r="H53" s="29"/>
      <c r="I53" s="28"/>
      <c r="J53" s="28"/>
      <c r="K53" s="28"/>
      <c r="L53" s="28"/>
      <c r="M53" s="28"/>
      <c r="N53" s="28"/>
      <c r="O53" s="30"/>
      <c r="P53" s="30"/>
      <c r="Q53" s="28"/>
      <c r="R53" s="28"/>
      <c r="S53" s="113"/>
      <c r="T53" s="134"/>
      <c r="U53" s="133"/>
    </row>
    <row r="54" spans="2:21">
      <c r="B54" s="27"/>
      <c r="C54" s="28"/>
      <c r="D54" s="18"/>
      <c r="E54" s="18"/>
      <c r="F54" s="29"/>
      <c r="G54" s="18"/>
      <c r="H54" s="29"/>
      <c r="I54" s="28"/>
      <c r="J54" s="28"/>
      <c r="K54" s="28"/>
      <c r="L54" s="28"/>
      <c r="M54" s="28"/>
      <c r="N54" s="28"/>
      <c r="O54" s="30"/>
      <c r="P54" s="30"/>
      <c r="Q54" s="28"/>
      <c r="R54" s="28"/>
      <c r="S54" s="113"/>
      <c r="T54" s="134"/>
      <c r="U54" s="133"/>
    </row>
    <row r="55" spans="2:21">
      <c r="B55" s="27"/>
      <c r="C55" s="28"/>
      <c r="D55" s="18"/>
      <c r="E55" s="18"/>
      <c r="F55" s="29"/>
      <c r="G55" s="18"/>
      <c r="H55" s="29"/>
      <c r="I55" s="28"/>
      <c r="J55" s="28"/>
      <c r="K55" s="28"/>
      <c r="L55" s="28"/>
      <c r="M55" s="28"/>
      <c r="N55" s="28"/>
      <c r="O55" s="30"/>
      <c r="P55" s="30"/>
      <c r="Q55" s="28"/>
      <c r="R55" s="28"/>
      <c r="S55" s="113"/>
      <c r="T55" s="134"/>
      <c r="U55" s="133"/>
    </row>
    <row r="56" spans="2:21">
      <c r="B56" s="27"/>
      <c r="C56" s="28"/>
      <c r="D56" s="18"/>
      <c r="E56" s="18"/>
      <c r="F56" s="29"/>
      <c r="G56" s="18"/>
      <c r="H56" s="29"/>
      <c r="I56" s="28"/>
      <c r="J56" s="28"/>
      <c r="K56" s="28"/>
      <c r="L56" s="28"/>
      <c r="M56" s="28"/>
      <c r="N56" s="28"/>
      <c r="O56" s="30"/>
      <c r="P56" s="30"/>
      <c r="Q56" s="28"/>
      <c r="R56" s="28"/>
      <c r="S56" s="113"/>
      <c r="T56" s="134"/>
      <c r="U56" s="133"/>
    </row>
    <row r="57" spans="2:21">
      <c r="B57" s="27"/>
      <c r="C57" s="28"/>
      <c r="D57" s="18"/>
      <c r="E57" s="18"/>
      <c r="F57" s="29"/>
      <c r="G57" s="18"/>
      <c r="H57" s="29"/>
      <c r="I57" s="28"/>
      <c r="J57" s="28"/>
      <c r="K57" s="28"/>
      <c r="L57" s="28"/>
      <c r="M57" s="28"/>
      <c r="N57" s="28"/>
      <c r="O57" s="30"/>
      <c r="P57" s="30"/>
      <c r="Q57" s="28"/>
      <c r="R57" s="28"/>
      <c r="S57" s="113"/>
      <c r="T57" s="134"/>
      <c r="U57" s="133"/>
    </row>
    <row r="58" spans="2:21">
      <c r="B58" s="27"/>
      <c r="C58" s="28"/>
      <c r="D58" s="18"/>
      <c r="E58" s="18"/>
      <c r="F58" s="29"/>
      <c r="G58" s="18"/>
      <c r="H58" s="29"/>
      <c r="I58" s="28"/>
      <c r="J58" s="28"/>
      <c r="K58" s="28"/>
      <c r="L58" s="28"/>
      <c r="M58" s="28"/>
      <c r="N58" s="28"/>
      <c r="O58" s="30"/>
      <c r="P58" s="30"/>
      <c r="Q58" s="28"/>
      <c r="R58" s="28"/>
      <c r="S58" s="113"/>
      <c r="T58" s="134"/>
      <c r="U58" s="133"/>
    </row>
    <row r="59" spans="2:21">
      <c r="B59" s="27"/>
      <c r="C59" s="28"/>
      <c r="D59" s="18"/>
      <c r="E59" s="18"/>
      <c r="F59" s="29"/>
      <c r="G59" s="18"/>
      <c r="H59" s="29"/>
      <c r="I59" s="28"/>
      <c r="J59" s="28"/>
      <c r="K59" s="28"/>
      <c r="L59" s="28"/>
      <c r="M59" s="28"/>
      <c r="N59" s="28"/>
      <c r="O59" s="30"/>
      <c r="P59" s="30"/>
      <c r="Q59" s="28"/>
      <c r="R59" s="28"/>
      <c r="S59" s="113"/>
      <c r="T59" s="134"/>
      <c r="U59" s="133"/>
    </row>
    <row r="60" spans="2:21">
      <c r="B60" s="27"/>
      <c r="C60" s="28"/>
      <c r="D60" s="18"/>
      <c r="E60" s="18"/>
      <c r="F60" s="29"/>
      <c r="G60" s="18"/>
      <c r="H60" s="29"/>
      <c r="I60" s="28"/>
      <c r="J60" s="28"/>
      <c r="K60" s="28"/>
      <c r="L60" s="28"/>
      <c r="M60" s="28"/>
      <c r="N60" s="28"/>
      <c r="O60" s="30"/>
      <c r="P60" s="30"/>
      <c r="Q60" s="28"/>
      <c r="R60" s="28"/>
      <c r="S60" s="113"/>
      <c r="T60" s="134"/>
      <c r="U60" s="133"/>
    </row>
    <row r="61" spans="2:21">
      <c r="B61" s="27"/>
      <c r="C61" s="28"/>
      <c r="D61" s="18"/>
      <c r="E61" s="18"/>
      <c r="F61" s="29"/>
      <c r="G61" s="18"/>
      <c r="H61" s="29"/>
      <c r="I61" s="28"/>
      <c r="J61" s="28"/>
      <c r="K61" s="28"/>
      <c r="L61" s="28"/>
      <c r="M61" s="28"/>
      <c r="N61" s="28"/>
      <c r="O61" s="30"/>
      <c r="P61" s="30"/>
      <c r="Q61" s="28"/>
      <c r="R61" s="28"/>
      <c r="S61" s="113"/>
      <c r="T61" s="134"/>
      <c r="U61" s="133"/>
    </row>
    <row r="62" spans="2:21">
      <c r="B62" s="27"/>
      <c r="C62" s="28"/>
      <c r="D62" s="18"/>
      <c r="E62" s="18"/>
      <c r="F62" s="29"/>
      <c r="G62" s="18"/>
      <c r="H62" s="29"/>
      <c r="I62" s="28"/>
      <c r="J62" s="28"/>
      <c r="K62" s="28"/>
      <c r="L62" s="28"/>
      <c r="M62" s="28"/>
      <c r="N62" s="28"/>
      <c r="O62" s="30"/>
      <c r="P62" s="30"/>
      <c r="Q62" s="28"/>
      <c r="R62" s="28"/>
      <c r="S62" s="113"/>
      <c r="T62" s="134"/>
      <c r="U62" s="133"/>
    </row>
    <row r="63" spans="2:21">
      <c r="B63" s="27"/>
      <c r="C63" s="28"/>
      <c r="D63" s="18"/>
      <c r="E63" s="18"/>
      <c r="F63" s="29"/>
      <c r="G63" s="18"/>
      <c r="H63" s="29"/>
      <c r="I63" s="28"/>
      <c r="J63" s="28"/>
      <c r="K63" s="28"/>
      <c r="L63" s="28"/>
      <c r="M63" s="28"/>
      <c r="N63" s="28"/>
      <c r="O63" s="30"/>
      <c r="P63" s="30"/>
      <c r="Q63" s="28"/>
      <c r="R63" s="28"/>
      <c r="S63" s="113"/>
      <c r="T63" s="134"/>
      <c r="U63" s="133"/>
    </row>
    <row r="64" spans="2:21">
      <c r="B64" s="27"/>
      <c r="C64" s="28"/>
      <c r="D64" s="18"/>
      <c r="E64" s="18"/>
      <c r="F64" s="29"/>
      <c r="G64" s="18"/>
      <c r="H64" s="29"/>
      <c r="I64" s="28"/>
      <c r="J64" s="28"/>
      <c r="K64" s="28"/>
      <c r="L64" s="28"/>
      <c r="M64" s="28"/>
      <c r="N64" s="28"/>
      <c r="O64" s="30"/>
      <c r="P64" s="30"/>
      <c r="Q64" s="28"/>
      <c r="R64" s="28"/>
      <c r="S64" s="113"/>
      <c r="T64" s="134"/>
      <c r="U64" s="133"/>
    </row>
    <row r="65" spans="2:21">
      <c r="B65" s="27"/>
      <c r="C65" s="28"/>
      <c r="D65" s="18"/>
      <c r="E65" s="18"/>
      <c r="F65" s="29"/>
      <c r="G65" s="18"/>
      <c r="H65" s="29"/>
      <c r="I65" s="28"/>
      <c r="J65" s="28"/>
      <c r="K65" s="28"/>
      <c r="L65" s="28"/>
      <c r="M65" s="28"/>
      <c r="N65" s="28"/>
      <c r="O65" s="30"/>
      <c r="P65" s="30"/>
      <c r="Q65" s="28"/>
      <c r="R65" s="28"/>
      <c r="S65" s="113"/>
      <c r="T65" s="134"/>
      <c r="U65" s="133"/>
    </row>
    <row r="66" spans="2:21">
      <c r="B66" s="27"/>
      <c r="C66" s="28"/>
      <c r="D66" s="18"/>
      <c r="E66" s="18"/>
      <c r="F66" s="29"/>
      <c r="G66" s="18"/>
      <c r="H66" s="29"/>
      <c r="I66" s="28"/>
      <c r="J66" s="28"/>
      <c r="K66" s="28"/>
      <c r="L66" s="28"/>
      <c r="M66" s="28"/>
      <c r="N66" s="28"/>
      <c r="O66" s="30"/>
      <c r="P66" s="30"/>
      <c r="Q66" s="28"/>
      <c r="R66" s="28"/>
      <c r="S66" s="113"/>
      <c r="T66" s="134"/>
      <c r="U66" s="133"/>
    </row>
    <row r="67" spans="2:21">
      <c r="B67" s="27"/>
      <c r="C67" s="28"/>
      <c r="D67" s="18"/>
      <c r="E67" s="18"/>
      <c r="F67" s="29"/>
      <c r="G67" s="18"/>
      <c r="H67" s="29"/>
      <c r="I67" s="28"/>
      <c r="J67" s="28"/>
      <c r="K67" s="28"/>
      <c r="L67" s="28"/>
      <c r="M67" s="28"/>
      <c r="N67" s="28"/>
      <c r="O67" s="30"/>
      <c r="P67" s="30"/>
      <c r="Q67" s="28"/>
      <c r="R67" s="28"/>
      <c r="S67" s="113"/>
      <c r="T67" s="134"/>
      <c r="U67" s="133"/>
    </row>
    <row r="68" spans="2:21">
      <c r="B68" s="27"/>
      <c r="C68" s="28"/>
      <c r="D68" s="18"/>
      <c r="E68" s="18"/>
      <c r="F68" s="29"/>
      <c r="G68" s="18"/>
      <c r="H68" s="29"/>
      <c r="I68" s="28"/>
      <c r="J68" s="28"/>
      <c r="K68" s="28"/>
      <c r="L68" s="28"/>
      <c r="M68" s="28"/>
      <c r="N68" s="28"/>
      <c r="O68" s="30"/>
      <c r="P68" s="30"/>
      <c r="Q68" s="28"/>
      <c r="R68" s="28"/>
      <c r="S68" s="113"/>
      <c r="T68" s="134"/>
      <c r="U68" s="133"/>
    </row>
    <row r="69" spans="2:21">
      <c r="B69" s="27"/>
      <c r="C69" s="28"/>
      <c r="D69" s="18"/>
      <c r="E69" s="18"/>
      <c r="F69" s="29"/>
      <c r="G69" s="18"/>
      <c r="H69" s="29"/>
      <c r="I69" s="28"/>
      <c r="J69" s="28"/>
      <c r="K69" s="28"/>
      <c r="L69" s="28"/>
      <c r="M69" s="28"/>
      <c r="N69" s="28"/>
      <c r="O69" s="30"/>
      <c r="P69" s="30"/>
      <c r="Q69" s="28"/>
      <c r="R69" s="28"/>
      <c r="S69" s="113"/>
      <c r="T69" s="134"/>
      <c r="U69" s="133"/>
    </row>
    <row r="70" spans="2:21">
      <c r="B70" s="27"/>
      <c r="C70" s="28"/>
      <c r="D70" s="18"/>
      <c r="E70" s="18"/>
      <c r="F70" s="29"/>
      <c r="G70" s="18"/>
      <c r="H70" s="29"/>
      <c r="I70" s="28"/>
      <c r="J70" s="28"/>
      <c r="K70" s="28"/>
      <c r="L70" s="28"/>
      <c r="M70" s="28"/>
      <c r="N70" s="28"/>
      <c r="O70" s="30"/>
      <c r="P70" s="30"/>
      <c r="Q70" s="28"/>
      <c r="R70" s="28"/>
      <c r="S70" s="113"/>
      <c r="T70" s="134"/>
      <c r="U70" s="133"/>
    </row>
    <row r="71" spans="2:21">
      <c r="B71" s="27"/>
      <c r="C71" s="28"/>
      <c r="D71" s="18"/>
      <c r="E71" s="18"/>
      <c r="F71" s="29"/>
      <c r="G71" s="18"/>
      <c r="H71" s="29"/>
      <c r="I71" s="28"/>
      <c r="J71" s="28"/>
      <c r="K71" s="28"/>
      <c r="L71" s="28"/>
      <c r="M71" s="28"/>
      <c r="N71" s="28"/>
      <c r="O71" s="30"/>
      <c r="P71" s="30"/>
      <c r="Q71" s="28"/>
      <c r="R71" s="28"/>
      <c r="S71" s="113"/>
      <c r="T71" s="134"/>
      <c r="U71" s="133"/>
    </row>
    <row r="72" spans="2:21">
      <c r="B72" s="27"/>
      <c r="C72" s="28"/>
      <c r="D72" s="18"/>
      <c r="E72" s="18"/>
      <c r="F72" s="29"/>
      <c r="G72" s="18"/>
      <c r="H72" s="29"/>
      <c r="I72" s="28"/>
      <c r="J72" s="28"/>
      <c r="K72" s="28"/>
      <c r="L72" s="28"/>
      <c r="M72" s="28"/>
      <c r="N72" s="28"/>
      <c r="O72" s="30"/>
      <c r="P72" s="30"/>
      <c r="Q72" s="28"/>
      <c r="R72" s="28"/>
      <c r="S72" s="113"/>
      <c r="T72" s="134"/>
      <c r="U72" s="133"/>
    </row>
    <row r="73" spans="2:21">
      <c r="B73" s="27"/>
      <c r="C73" s="28"/>
      <c r="D73" s="18"/>
      <c r="E73" s="18"/>
      <c r="F73" s="29"/>
      <c r="G73" s="18"/>
      <c r="H73" s="29"/>
      <c r="I73" s="28"/>
      <c r="J73" s="28"/>
      <c r="K73" s="28"/>
      <c r="L73" s="28"/>
      <c r="M73" s="28"/>
      <c r="N73" s="28"/>
      <c r="O73" s="30"/>
      <c r="P73" s="30"/>
      <c r="Q73" s="28"/>
      <c r="R73" s="28"/>
      <c r="S73" s="113"/>
      <c r="T73" s="134"/>
      <c r="U73" s="133"/>
    </row>
    <row r="74" spans="2:21">
      <c r="B74" s="27"/>
      <c r="C74" s="28"/>
      <c r="D74" s="18"/>
      <c r="E74" s="18"/>
      <c r="F74" s="29"/>
      <c r="G74" s="18"/>
      <c r="H74" s="29"/>
      <c r="I74" s="28"/>
      <c r="J74" s="28"/>
      <c r="K74" s="28"/>
      <c r="L74" s="28"/>
      <c r="M74" s="28"/>
      <c r="N74" s="28"/>
      <c r="O74" s="30"/>
      <c r="P74" s="30"/>
      <c r="Q74" s="28"/>
      <c r="R74" s="28"/>
      <c r="S74" s="113"/>
      <c r="T74" s="134"/>
      <c r="U74" s="133"/>
    </row>
    <row r="75" spans="2:21">
      <c r="B75" s="27"/>
      <c r="C75" s="28"/>
      <c r="D75" s="18"/>
      <c r="E75" s="18"/>
      <c r="F75" s="29"/>
      <c r="G75" s="18"/>
      <c r="H75" s="29"/>
      <c r="I75" s="28"/>
      <c r="J75" s="28"/>
      <c r="K75" s="28"/>
      <c r="L75" s="28"/>
      <c r="M75" s="28"/>
      <c r="N75" s="28"/>
      <c r="O75" s="30"/>
      <c r="P75" s="30"/>
      <c r="Q75" s="28"/>
      <c r="R75" s="28"/>
      <c r="S75" s="113"/>
      <c r="T75" s="134"/>
      <c r="U75" s="133"/>
    </row>
    <row r="76" spans="2:21">
      <c r="B76" s="27"/>
      <c r="C76" s="28"/>
      <c r="D76" s="18"/>
      <c r="E76" s="18"/>
      <c r="F76" s="29"/>
      <c r="G76" s="18"/>
      <c r="H76" s="29"/>
      <c r="I76" s="28"/>
      <c r="J76" s="28"/>
      <c r="K76" s="28"/>
      <c r="L76" s="28"/>
      <c r="M76" s="28"/>
      <c r="N76" s="28"/>
      <c r="O76" s="30"/>
      <c r="P76" s="30"/>
      <c r="Q76" s="28"/>
      <c r="R76" s="28"/>
      <c r="S76" s="113"/>
      <c r="T76" s="134"/>
      <c r="U76" s="133"/>
    </row>
    <row r="77" spans="2:21">
      <c r="B77" s="27"/>
      <c r="C77" s="28"/>
      <c r="D77" s="18"/>
      <c r="E77" s="18"/>
      <c r="F77" s="29"/>
      <c r="G77" s="18"/>
      <c r="H77" s="29"/>
      <c r="I77" s="28"/>
      <c r="J77" s="28"/>
      <c r="K77" s="28"/>
      <c r="L77" s="28"/>
      <c r="M77" s="28"/>
      <c r="N77" s="28"/>
      <c r="O77" s="30"/>
      <c r="P77" s="30"/>
      <c r="Q77" s="28"/>
      <c r="R77" s="28"/>
      <c r="S77" s="113"/>
      <c r="T77" s="134"/>
      <c r="U77" s="133"/>
    </row>
    <row r="78" spans="2:21">
      <c r="B78" s="27"/>
      <c r="C78" s="28"/>
      <c r="D78" s="18"/>
      <c r="E78" s="18"/>
      <c r="F78" s="29"/>
      <c r="G78" s="18"/>
      <c r="H78" s="29"/>
      <c r="I78" s="28"/>
      <c r="J78" s="28"/>
      <c r="K78" s="28"/>
      <c r="L78" s="28"/>
      <c r="M78" s="28"/>
      <c r="N78" s="28"/>
      <c r="O78" s="30"/>
      <c r="P78" s="30"/>
      <c r="Q78" s="28"/>
      <c r="R78" s="28"/>
      <c r="S78" s="113"/>
      <c r="T78" s="134"/>
      <c r="U78" s="133"/>
    </row>
    <row r="79" spans="2:21">
      <c r="B79" s="27"/>
      <c r="C79" s="28"/>
      <c r="D79" s="18"/>
      <c r="E79" s="18"/>
      <c r="F79" s="29"/>
      <c r="G79" s="18"/>
      <c r="H79" s="29"/>
      <c r="I79" s="28"/>
      <c r="J79" s="28"/>
      <c r="K79" s="28"/>
      <c r="L79" s="28"/>
      <c r="M79" s="28"/>
      <c r="N79" s="28"/>
      <c r="O79" s="30"/>
      <c r="P79" s="30"/>
      <c r="Q79" s="28"/>
      <c r="R79" s="28"/>
      <c r="S79" s="113"/>
      <c r="T79" s="134"/>
      <c r="U79" s="133"/>
    </row>
    <row r="80" spans="2:21">
      <c r="B80" s="27"/>
      <c r="C80" s="28"/>
      <c r="D80" s="18"/>
      <c r="E80" s="18"/>
      <c r="F80" s="29"/>
      <c r="G80" s="18"/>
      <c r="H80" s="29"/>
      <c r="I80" s="28"/>
      <c r="J80" s="28"/>
      <c r="K80" s="28"/>
      <c r="L80" s="28"/>
      <c r="M80" s="28"/>
      <c r="N80" s="28"/>
      <c r="O80" s="30"/>
      <c r="P80" s="30"/>
      <c r="Q80" s="28"/>
      <c r="R80" s="28"/>
      <c r="S80" s="113"/>
      <c r="T80" s="134"/>
      <c r="U80" s="133"/>
    </row>
    <row r="81" spans="2:21">
      <c r="B81" s="27"/>
      <c r="C81" s="28"/>
      <c r="D81" s="18"/>
      <c r="E81" s="18"/>
      <c r="F81" s="29"/>
      <c r="G81" s="18"/>
      <c r="H81" s="29"/>
      <c r="I81" s="28"/>
      <c r="J81" s="28"/>
      <c r="K81" s="28"/>
      <c r="L81" s="28"/>
      <c r="M81" s="28"/>
      <c r="N81" s="28"/>
      <c r="O81" s="30"/>
      <c r="P81" s="30"/>
      <c r="Q81" s="28"/>
      <c r="R81" s="28"/>
      <c r="S81" s="113"/>
      <c r="T81" s="134"/>
      <c r="U81" s="133"/>
    </row>
    <row r="82" spans="2:21">
      <c r="B82" s="27"/>
      <c r="C82" s="28"/>
      <c r="D82" s="18"/>
      <c r="E82" s="18"/>
      <c r="F82" s="29"/>
      <c r="G82" s="18"/>
      <c r="H82" s="29"/>
      <c r="I82" s="28"/>
      <c r="J82" s="28"/>
      <c r="K82" s="28"/>
      <c r="L82" s="28"/>
      <c r="M82" s="28"/>
      <c r="N82" s="28"/>
      <c r="O82" s="30"/>
      <c r="P82" s="30"/>
      <c r="Q82" s="28"/>
      <c r="R82" s="28"/>
      <c r="S82" s="113"/>
      <c r="T82" s="134"/>
      <c r="U82" s="133"/>
    </row>
    <row r="83" spans="2:21">
      <c r="B83" s="27"/>
      <c r="C83" s="28"/>
      <c r="D83" s="18"/>
      <c r="E83" s="18"/>
      <c r="F83" s="29"/>
      <c r="G83" s="18"/>
      <c r="H83" s="29"/>
      <c r="I83" s="28"/>
      <c r="J83" s="28"/>
      <c r="K83" s="28"/>
      <c r="L83" s="28"/>
      <c r="M83" s="28"/>
      <c r="N83" s="28"/>
      <c r="O83" s="30"/>
      <c r="P83" s="30"/>
      <c r="Q83" s="28"/>
      <c r="R83" s="28"/>
      <c r="S83" s="113"/>
      <c r="T83" s="134"/>
      <c r="U83" s="133"/>
    </row>
    <row r="84" spans="2:21">
      <c r="B84" s="27"/>
      <c r="C84" s="28"/>
      <c r="D84" s="18"/>
      <c r="E84" s="18"/>
      <c r="F84" s="29"/>
      <c r="G84" s="18"/>
      <c r="H84" s="29"/>
      <c r="I84" s="28"/>
      <c r="J84" s="28"/>
      <c r="K84" s="28"/>
      <c r="L84" s="28"/>
      <c r="M84" s="28"/>
      <c r="N84" s="28"/>
      <c r="O84" s="30"/>
      <c r="P84" s="30"/>
      <c r="Q84" s="28"/>
      <c r="R84" s="28"/>
      <c r="S84" s="113"/>
      <c r="T84" s="134"/>
      <c r="U84" s="133"/>
    </row>
    <row r="85" spans="2:21">
      <c r="B85" s="27"/>
      <c r="C85" s="28"/>
      <c r="D85" s="18"/>
      <c r="E85" s="18"/>
      <c r="F85" s="29"/>
      <c r="G85" s="18"/>
      <c r="H85" s="29"/>
      <c r="I85" s="28"/>
      <c r="J85" s="28"/>
      <c r="K85" s="28"/>
      <c r="L85" s="28"/>
      <c r="M85" s="28"/>
      <c r="N85" s="28"/>
      <c r="O85" s="30"/>
      <c r="P85" s="30"/>
      <c r="Q85" s="28"/>
      <c r="R85" s="28"/>
      <c r="S85" s="113"/>
      <c r="T85" s="134"/>
      <c r="U85" s="133"/>
    </row>
    <row r="86" spans="2:21">
      <c r="B86" s="27"/>
      <c r="C86" s="28"/>
      <c r="D86" s="18"/>
      <c r="E86" s="18"/>
      <c r="F86" s="29"/>
      <c r="G86" s="18"/>
      <c r="H86" s="29"/>
      <c r="I86" s="28"/>
      <c r="J86" s="28"/>
      <c r="K86" s="28"/>
      <c r="L86" s="28"/>
      <c r="M86" s="28"/>
      <c r="N86" s="28"/>
      <c r="O86" s="30"/>
      <c r="P86" s="30"/>
      <c r="Q86" s="28"/>
      <c r="R86" s="28"/>
      <c r="S86" s="113"/>
      <c r="T86" s="134"/>
      <c r="U86" s="133"/>
    </row>
    <row r="87" spans="2:21">
      <c r="B87" s="27"/>
      <c r="C87" s="28"/>
      <c r="D87" s="18"/>
      <c r="E87" s="18"/>
      <c r="F87" s="29"/>
      <c r="G87" s="18"/>
      <c r="H87" s="29"/>
      <c r="I87" s="28"/>
      <c r="J87" s="28"/>
      <c r="K87" s="28"/>
      <c r="L87" s="28"/>
      <c r="M87" s="28"/>
      <c r="N87" s="28"/>
      <c r="O87" s="30"/>
      <c r="P87" s="30"/>
      <c r="Q87" s="28"/>
      <c r="R87" s="28"/>
      <c r="S87" s="113"/>
      <c r="T87" s="134"/>
      <c r="U87" s="133"/>
    </row>
    <row r="88" spans="2:21">
      <c r="B88" s="27"/>
      <c r="C88" s="28"/>
      <c r="D88" s="18"/>
      <c r="E88" s="18"/>
      <c r="F88" s="29"/>
      <c r="G88" s="18"/>
      <c r="H88" s="29"/>
      <c r="I88" s="28"/>
      <c r="J88" s="28"/>
      <c r="K88" s="28"/>
      <c r="L88" s="28"/>
      <c r="M88" s="28"/>
      <c r="N88" s="28"/>
      <c r="O88" s="30"/>
      <c r="P88" s="30"/>
      <c r="Q88" s="28"/>
      <c r="R88" s="28"/>
      <c r="S88" s="113"/>
      <c r="T88" s="134"/>
      <c r="U88" s="133"/>
    </row>
    <row r="89" spans="2:21">
      <c r="B89" s="27"/>
      <c r="C89" s="28"/>
      <c r="D89" s="18"/>
      <c r="E89" s="18"/>
      <c r="F89" s="29"/>
      <c r="G89" s="18"/>
      <c r="H89" s="29"/>
      <c r="I89" s="28"/>
      <c r="J89" s="28"/>
      <c r="K89" s="28"/>
      <c r="L89" s="28"/>
      <c r="M89" s="28"/>
      <c r="N89" s="28"/>
      <c r="O89" s="30"/>
      <c r="P89" s="30"/>
      <c r="Q89" s="28"/>
      <c r="R89" s="28"/>
      <c r="S89" s="113"/>
      <c r="T89" s="134"/>
      <c r="U89" s="133"/>
    </row>
    <row r="90" spans="2:21">
      <c r="B90" s="27"/>
      <c r="C90" s="28"/>
      <c r="D90" s="18"/>
      <c r="E90" s="18"/>
      <c r="F90" s="29"/>
      <c r="G90" s="18"/>
      <c r="H90" s="29"/>
      <c r="I90" s="28"/>
      <c r="J90" s="28"/>
      <c r="K90" s="28"/>
      <c r="L90" s="28"/>
      <c r="M90" s="28"/>
      <c r="N90" s="28"/>
      <c r="O90" s="30"/>
      <c r="P90" s="30"/>
      <c r="Q90" s="28"/>
      <c r="R90" s="28"/>
      <c r="S90" s="113"/>
      <c r="T90" s="134"/>
      <c r="U90" s="133"/>
    </row>
    <row r="91" spans="2:21">
      <c r="B91" s="27"/>
      <c r="C91" s="28"/>
      <c r="D91" s="18"/>
      <c r="E91" s="18"/>
      <c r="F91" s="29"/>
      <c r="G91" s="18"/>
      <c r="H91" s="29"/>
      <c r="I91" s="28"/>
      <c r="J91" s="28"/>
      <c r="K91" s="28"/>
      <c r="L91" s="28"/>
      <c r="M91" s="28"/>
      <c r="N91" s="28"/>
      <c r="O91" s="30"/>
      <c r="P91" s="30"/>
      <c r="Q91" s="28"/>
      <c r="R91" s="28"/>
      <c r="S91" s="113"/>
      <c r="T91" s="134"/>
      <c r="U91" s="133"/>
    </row>
    <row r="92" spans="2:21">
      <c r="B92" s="27"/>
      <c r="C92" s="28"/>
      <c r="D92" s="18"/>
      <c r="E92" s="18"/>
      <c r="F92" s="29"/>
      <c r="G92" s="18"/>
      <c r="H92" s="29"/>
      <c r="I92" s="28"/>
      <c r="J92" s="28"/>
      <c r="K92" s="28"/>
      <c r="L92" s="28"/>
      <c r="M92" s="28"/>
      <c r="N92" s="28"/>
      <c r="O92" s="30"/>
      <c r="P92" s="30"/>
      <c r="Q92" s="28"/>
      <c r="R92" s="28"/>
      <c r="S92" s="113"/>
      <c r="T92" s="134"/>
      <c r="U92" s="133"/>
    </row>
    <row r="93" spans="2:21">
      <c r="B93" s="27"/>
      <c r="C93" s="28"/>
      <c r="D93" s="18"/>
      <c r="E93" s="18"/>
      <c r="F93" s="29"/>
      <c r="G93" s="18"/>
      <c r="H93" s="29"/>
      <c r="I93" s="28"/>
      <c r="J93" s="28"/>
      <c r="K93" s="28"/>
      <c r="L93" s="28"/>
      <c r="M93" s="28"/>
      <c r="N93" s="28"/>
      <c r="O93" s="30"/>
      <c r="P93" s="30"/>
      <c r="Q93" s="28"/>
      <c r="R93" s="28"/>
      <c r="S93" s="113"/>
      <c r="T93" s="134"/>
      <c r="U93" s="133"/>
    </row>
    <row r="94" spans="2:21">
      <c r="B94" s="27"/>
      <c r="C94" s="28"/>
      <c r="D94" s="18"/>
      <c r="E94" s="18"/>
      <c r="F94" s="29"/>
      <c r="G94" s="18"/>
      <c r="H94" s="29"/>
      <c r="I94" s="28"/>
      <c r="J94" s="28"/>
      <c r="K94" s="28"/>
      <c r="L94" s="28"/>
      <c r="M94" s="28"/>
      <c r="N94" s="28"/>
      <c r="O94" s="30"/>
      <c r="P94" s="30"/>
      <c r="Q94" s="28"/>
      <c r="R94" s="28"/>
      <c r="S94" s="113"/>
      <c r="T94" s="134"/>
      <c r="U94" s="133"/>
    </row>
    <row r="95" spans="2:21">
      <c r="B95" s="27"/>
      <c r="C95" s="28"/>
      <c r="D95" s="18"/>
      <c r="E95" s="18"/>
      <c r="F95" s="29"/>
      <c r="G95" s="18"/>
      <c r="H95" s="29"/>
      <c r="I95" s="28"/>
      <c r="J95" s="28"/>
      <c r="K95" s="28"/>
      <c r="L95" s="28"/>
      <c r="M95" s="28"/>
      <c r="N95" s="28"/>
      <c r="O95" s="30"/>
      <c r="P95" s="30"/>
      <c r="Q95" s="28"/>
      <c r="R95" s="28"/>
      <c r="S95" s="113"/>
      <c r="T95" s="134"/>
      <c r="U95" s="133"/>
    </row>
    <row r="96" spans="2:21">
      <c r="B96" s="27"/>
      <c r="C96" s="28"/>
      <c r="D96" s="18"/>
      <c r="E96" s="18"/>
      <c r="F96" s="29"/>
      <c r="G96" s="18"/>
      <c r="H96" s="29"/>
      <c r="I96" s="28"/>
      <c r="J96" s="28"/>
      <c r="K96" s="28"/>
      <c r="L96" s="28"/>
      <c r="M96" s="28"/>
      <c r="N96" s="28"/>
      <c r="O96" s="30"/>
      <c r="P96" s="30"/>
      <c r="Q96" s="28"/>
      <c r="R96" s="28"/>
      <c r="S96" s="113"/>
      <c r="T96" s="134"/>
      <c r="U96" s="133"/>
    </row>
    <row r="97" spans="2:21">
      <c r="B97" s="27"/>
      <c r="C97" s="28"/>
      <c r="D97" s="18"/>
      <c r="E97" s="18"/>
      <c r="F97" s="29"/>
      <c r="G97" s="18"/>
      <c r="H97" s="29"/>
      <c r="I97" s="28"/>
      <c r="J97" s="28"/>
      <c r="K97" s="28"/>
      <c r="L97" s="28"/>
      <c r="M97" s="28"/>
      <c r="N97" s="28"/>
      <c r="O97" s="30"/>
      <c r="P97" s="30"/>
      <c r="Q97" s="28"/>
      <c r="R97" s="28"/>
      <c r="S97" s="113"/>
      <c r="T97" s="134"/>
      <c r="U97" s="133"/>
    </row>
    <row r="98" spans="2:21">
      <c r="B98" s="27"/>
      <c r="C98" s="28"/>
      <c r="D98" s="18"/>
      <c r="E98" s="18"/>
      <c r="F98" s="29"/>
      <c r="G98" s="18"/>
      <c r="H98" s="29"/>
      <c r="I98" s="28"/>
      <c r="J98" s="28"/>
      <c r="K98" s="28"/>
      <c r="L98" s="28"/>
      <c r="M98" s="28"/>
      <c r="N98" s="28"/>
      <c r="O98" s="30"/>
      <c r="P98" s="30"/>
      <c r="Q98" s="28"/>
      <c r="R98" s="28"/>
      <c r="S98" s="113"/>
      <c r="T98" s="134"/>
      <c r="U98" s="133"/>
    </row>
    <row r="99" spans="2:21">
      <c r="B99" s="27"/>
      <c r="C99" s="28"/>
      <c r="D99" s="18"/>
      <c r="E99" s="18"/>
      <c r="F99" s="29"/>
      <c r="G99" s="18"/>
      <c r="H99" s="29"/>
      <c r="I99" s="28"/>
      <c r="J99" s="28"/>
      <c r="K99" s="28"/>
      <c r="L99" s="28"/>
      <c r="M99" s="28"/>
      <c r="N99" s="28"/>
      <c r="O99" s="30"/>
      <c r="P99" s="30"/>
      <c r="Q99" s="28"/>
      <c r="R99" s="28"/>
      <c r="S99" s="113"/>
      <c r="T99" s="134"/>
      <c r="U99" s="133"/>
    </row>
    <row r="100" spans="2:21">
      <c r="B100" s="27"/>
      <c r="C100" s="28"/>
      <c r="D100" s="18"/>
      <c r="E100" s="18"/>
      <c r="F100" s="29"/>
      <c r="G100" s="18"/>
      <c r="H100" s="29"/>
      <c r="I100" s="28"/>
      <c r="J100" s="28"/>
      <c r="K100" s="28"/>
      <c r="L100" s="28"/>
      <c r="M100" s="28"/>
      <c r="N100" s="28"/>
      <c r="O100" s="30"/>
      <c r="P100" s="30"/>
      <c r="Q100" s="28"/>
      <c r="R100" s="28"/>
      <c r="S100" s="113"/>
      <c r="T100" s="134"/>
      <c r="U100" s="133"/>
    </row>
    <row r="101" spans="2:21">
      <c r="B101" s="27"/>
      <c r="C101" s="28"/>
      <c r="D101" s="18"/>
      <c r="E101" s="18"/>
      <c r="F101" s="29"/>
      <c r="G101" s="18"/>
      <c r="H101" s="29"/>
      <c r="I101" s="28"/>
      <c r="J101" s="28"/>
      <c r="K101" s="28"/>
      <c r="L101" s="28"/>
      <c r="M101" s="28"/>
      <c r="N101" s="28"/>
      <c r="O101" s="30"/>
      <c r="P101" s="30"/>
      <c r="Q101" s="28"/>
      <c r="R101" s="28"/>
      <c r="S101" s="113"/>
      <c r="T101" s="134"/>
      <c r="U101" s="133"/>
    </row>
    <row r="102" spans="2:21">
      <c r="B102" s="27"/>
      <c r="C102" s="28"/>
      <c r="D102" s="18"/>
      <c r="E102" s="18"/>
      <c r="F102" s="29"/>
      <c r="G102" s="18"/>
      <c r="H102" s="29"/>
      <c r="I102" s="28"/>
      <c r="J102" s="28"/>
      <c r="K102" s="28"/>
      <c r="L102" s="28"/>
      <c r="M102" s="28"/>
      <c r="N102" s="28"/>
      <c r="O102" s="30"/>
      <c r="P102" s="30"/>
      <c r="Q102" s="28"/>
      <c r="R102" s="28"/>
      <c r="S102" s="113"/>
      <c r="T102" s="134"/>
      <c r="U102" s="133"/>
    </row>
    <row r="103" spans="2:21">
      <c r="B103" s="27"/>
      <c r="C103" s="28"/>
      <c r="D103" s="18"/>
      <c r="E103" s="18"/>
      <c r="F103" s="29"/>
      <c r="G103" s="18"/>
      <c r="H103" s="29"/>
      <c r="I103" s="28"/>
      <c r="J103" s="28"/>
      <c r="K103" s="28"/>
      <c r="L103" s="28"/>
      <c r="M103" s="28"/>
      <c r="N103" s="28"/>
      <c r="O103" s="30"/>
      <c r="P103" s="30"/>
      <c r="Q103" s="28"/>
      <c r="R103" s="28"/>
      <c r="S103" s="113"/>
      <c r="T103" s="134"/>
      <c r="U103" s="133"/>
    </row>
    <row r="104" spans="2:21">
      <c r="B104" s="27"/>
      <c r="C104" s="28"/>
      <c r="D104" s="18"/>
      <c r="E104" s="18"/>
      <c r="F104" s="29"/>
      <c r="G104" s="18"/>
      <c r="H104" s="29"/>
      <c r="I104" s="28"/>
      <c r="J104" s="28"/>
      <c r="K104" s="28"/>
      <c r="L104" s="28"/>
      <c r="M104" s="28"/>
      <c r="N104" s="28"/>
      <c r="O104" s="30"/>
      <c r="P104" s="30"/>
      <c r="Q104" s="28"/>
      <c r="R104" s="28"/>
      <c r="S104" s="113"/>
      <c r="T104" s="134"/>
      <c r="U104" s="133"/>
    </row>
    <row r="105" spans="2:21">
      <c r="B105" s="27"/>
      <c r="C105" s="28"/>
      <c r="D105" s="18"/>
      <c r="E105" s="18"/>
      <c r="F105" s="29"/>
      <c r="G105" s="18"/>
      <c r="H105" s="29"/>
      <c r="I105" s="28"/>
      <c r="J105" s="28"/>
      <c r="K105" s="28"/>
      <c r="L105" s="28"/>
      <c r="M105" s="28"/>
      <c r="N105" s="28"/>
      <c r="O105" s="30"/>
      <c r="P105" s="30"/>
      <c r="Q105" s="28"/>
      <c r="R105" s="28"/>
      <c r="S105" s="113"/>
      <c r="T105" s="134"/>
      <c r="U105" s="133"/>
    </row>
    <row r="106" spans="2:21">
      <c r="B106" s="27"/>
      <c r="C106" s="28"/>
      <c r="D106" s="18"/>
      <c r="E106" s="18"/>
      <c r="F106" s="29"/>
      <c r="G106" s="18"/>
      <c r="H106" s="29"/>
      <c r="I106" s="28"/>
      <c r="J106" s="28"/>
      <c r="K106" s="28"/>
      <c r="L106" s="28"/>
      <c r="M106" s="28"/>
      <c r="N106" s="28"/>
      <c r="O106" s="30"/>
      <c r="P106" s="30"/>
      <c r="Q106" s="28"/>
      <c r="R106" s="28"/>
      <c r="S106" s="113"/>
      <c r="T106" s="134"/>
      <c r="U106" s="133"/>
    </row>
    <row r="107" spans="2:21">
      <c r="B107" s="27"/>
      <c r="C107" s="28"/>
      <c r="D107" s="18"/>
      <c r="E107" s="18"/>
      <c r="F107" s="29"/>
      <c r="G107" s="18"/>
      <c r="H107" s="29"/>
      <c r="I107" s="28"/>
      <c r="J107" s="28"/>
      <c r="K107" s="28"/>
      <c r="L107" s="28"/>
      <c r="M107" s="28"/>
      <c r="N107" s="28"/>
      <c r="O107" s="30"/>
      <c r="P107" s="30"/>
      <c r="Q107" s="28"/>
      <c r="R107" s="28"/>
      <c r="S107" s="113"/>
      <c r="T107" s="134"/>
      <c r="U107" s="133"/>
    </row>
    <row r="108" spans="2:21">
      <c r="B108" s="27"/>
      <c r="C108" s="28"/>
      <c r="D108" s="18"/>
      <c r="E108" s="18"/>
      <c r="F108" s="29"/>
      <c r="G108" s="18"/>
      <c r="H108" s="29"/>
      <c r="I108" s="28"/>
      <c r="J108" s="28"/>
      <c r="K108" s="28"/>
      <c r="L108" s="28"/>
      <c r="M108" s="28"/>
      <c r="N108" s="28"/>
      <c r="O108" s="30"/>
      <c r="P108" s="30"/>
      <c r="Q108" s="28"/>
      <c r="R108" s="28"/>
      <c r="S108" s="113"/>
      <c r="T108" s="134"/>
      <c r="U108" s="133"/>
    </row>
    <row r="109" spans="2:21">
      <c r="B109" s="27"/>
      <c r="C109" s="28"/>
      <c r="D109" s="18"/>
      <c r="E109" s="18"/>
      <c r="F109" s="29"/>
      <c r="G109" s="18"/>
      <c r="H109" s="29"/>
      <c r="I109" s="28"/>
      <c r="J109" s="28"/>
      <c r="K109" s="28"/>
      <c r="L109" s="28"/>
      <c r="M109" s="28"/>
      <c r="N109" s="28"/>
      <c r="O109" s="30"/>
      <c r="P109" s="30"/>
      <c r="Q109" s="28"/>
      <c r="R109" s="28"/>
      <c r="S109" s="113"/>
      <c r="T109" s="134"/>
      <c r="U109" s="133"/>
    </row>
    <row r="110" spans="2:21">
      <c r="B110" s="27"/>
      <c r="C110" s="28"/>
      <c r="D110" s="18"/>
      <c r="E110" s="18"/>
      <c r="F110" s="29"/>
      <c r="G110" s="18"/>
      <c r="H110" s="29"/>
      <c r="I110" s="28"/>
      <c r="J110" s="28"/>
      <c r="K110" s="28"/>
      <c r="L110" s="28"/>
      <c r="M110" s="28"/>
      <c r="N110" s="28"/>
      <c r="O110" s="30"/>
      <c r="P110" s="30"/>
      <c r="Q110" s="28"/>
      <c r="R110" s="28"/>
      <c r="S110" s="113"/>
      <c r="T110" s="134"/>
      <c r="U110" s="133"/>
    </row>
    <row r="111" spans="2:21">
      <c r="B111" s="27"/>
      <c r="C111" s="28"/>
      <c r="D111" s="18"/>
      <c r="E111" s="18"/>
      <c r="F111" s="29"/>
      <c r="G111" s="18"/>
      <c r="H111" s="29"/>
      <c r="I111" s="28"/>
      <c r="J111" s="28"/>
      <c r="K111" s="28"/>
      <c r="L111" s="28"/>
      <c r="M111" s="28"/>
      <c r="N111" s="28"/>
      <c r="O111" s="30"/>
      <c r="P111" s="30"/>
      <c r="Q111" s="28"/>
      <c r="R111" s="28"/>
      <c r="S111" s="113"/>
      <c r="T111" s="134"/>
      <c r="U111" s="133"/>
    </row>
    <row r="112" spans="2:21">
      <c r="B112" s="27"/>
      <c r="C112" s="28"/>
      <c r="D112" s="18"/>
      <c r="E112" s="18"/>
      <c r="F112" s="29"/>
      <c r="G112" s="18"/>
      <c r="H112" s="29"/>
      <c r="I112" s="28"/>
      <c r="J112" s="28"/>
      <c r="K112" s="28"/>
      <c r="L112" s="28"/>
      <c r="M112" s="28"/>
      <c r="N112" s="28"/>
      <c r="O112" s="30"/>
      <c r="P112" s="30"/>
      <c r="Q112" s="28"/>
      <c r="R112" s="28"/>
      <c r="S112" s="113"/>
      <c r="T112" s="134"/>
      <c r="U112" s="133"/>
    </row>
    <row r="113" spans="2:21">
      <c r="B113" s="27"/>
      <c r="C113" s="28"/>
      <c r="D113" s="18"/>
      <c r="E113" s="18"/>
      <c r="F113" s="29"/>
      <c r="G113" s="18"/>
      <c r="H113" s="29"/>
      <c r="I113" s="28"/>
      <c r="J113" s="28"/>
      <c r="K113" s="28"/>
      <c r="L113" s="28"/>
      <c r="M113" s="28"/>
      <c r="N113" s="28"/>
      <c r="O113" s="30"/>
      <c r="P113" s="30"/>
      <c r="Q113" s="28"/>
      <c r="R113" s="28"/>
      <c r="S113" s="113"/>
      <c r="T113" s="134"/>
      <c r="U113" s="133"/>
    </row>
    <row r="114" spans="2:21">
      <c r="B114" s="27"/>
      <c r="C114" s="28"/>
      <c r="D114" s="18"/>
      <c r="E114" s="18"/>
      <c r="F114" s="29"/>
      <c r="G114" s="18"/>
      <c r="H114" s="29"/>
      <c r="I114" s="28"/>
      <c r="J114" s="28"/>
      <c r="K114" s="28"/>
      <c r="L114" s="28"/>
      <c r="M114" s="28"/>
      <c r="N114" s="28"/>
      <c r="O114" s="30"/>
      <c r="P114" s="30"/>
      <c r="Q114" s="28"/>
      <c r="R114" s="28"/>
      <c r="S114" s="113"/>
      <c r="T114" s="134"/>
      <c r="U114" s="133"/>
    </row>
    <row r="115" spans="2:21">
      <c r="B115" s="27"/>
      <c r="C115" s="28"/>
      <c r="D115" s="18"/>
      <c r="E115" s="18"/>
      <c r="F115" s="29"/>
      <c r="G115" s="18"/>
      <c r="H115" s="29"/>
      <c r="I115" s="28"/>
      <c r="J115" s="28"/>
      <c r="K115" s="28"/>
      <c r="L115" s="28"/>
      <c r="M115" s="28"/>
      <c r="N115" s="28"/>
      <c r="O115" s="30"/>
      <c r="P115" s="30"/>
      <c r="Q115" s="28"/>
      <c r="R115" s="28"/>
      <c r="S115" s="113"/>
      <c r="T115" s="134"/>
      <c r="U115" s="133"/>
    </row>
    <row r="116" spans="2:21">
      <c r="B116" s="27"/>
      <c r="C116" s="28"/>
      <c r="D116" s="18"/>
      <c r="E116" s="18"/>
      <c r="F116" s="29"/>
      <c r="G116" s="18"/>
      <c r="H116" s="29"/>
      <c r="I116" s="28"/>
      <c r="J116" s="28"/>
      <c r="K116" s="28"/>
      <c r="L116" s="28"/>
      <c r="M116" s="28"/>
      <c r="N116" s="28"/>
      <c r="O116" s="30"/>
      <c r="P116" s="30"/>
      <c r="Q116" s="28"/>
      <c r="R116" s="28"/>
      <c r="S116" s="113"/>
      <c r="T116" s="134"/>
      <c r="U116" s="133"/>
    </row>
    <row r="117" spans="2:21">
      <c r="B117" s="27"/>
      <c r="C117" s="28"/>
      <c r="D117" s="18"/>
      <c r="E117" s="18"/>
      <c r="F117" s="29"/>
      <c r="G117" s="18"/>
      <c r="H117" s="29"/>
      <c r="I117" s="28"/>
      <c r="J117" s="28"/>
      <c r="K117" s="28"/>
      <c r="L117" s="28"/>
      <c r="M117" s="28"/>
      <c r="N117" s="28"/>
      <c r="O117" s="30"/>
      <c r="P117" s="30"/>
      <c r="Q117" s="28"/>
      <c r="R117" s="28"/>
      <c r="S117" s="113"/>
      <c r="T117" s="134"/>
      <c r="U117" s="133"/>
    </row>
    <row r="118" spans="2:21">
      <c r="B118" s="27"/>
      <c r="C118" s="28"/>
      <c r="D118" s="18"/>
      <c r="E118" s="18"/>
      <c r="F118" s="29"/>
      <c r="G118" s="18"/>
      <c r="H118" s="29"/>
      <c r="I118" s="28"/>
      <c r="J118" s="28"/>
      <c r="K118" s="28"/>
      <c r="L118" s="28"/>
      <c r="M118" s="28"/>
      <c r="N118" s="28"/>
      <c r="O118" s="30"/>
      <c r="P118" s="30"/>
      <c r="Q118" s="28"/>
      <c r="R118" s="28"/>
      <c r="S118" s="113"/>
      <c r="T118" s="134"/>
      <c r="U118" s="133"/>
    </row>
    <row r="119" spans="2:21">
      <c r="B119" s="27"/>
      <c r="C119" s="28"/>
      <c r="D119" s="18"/>
      <c r="E119" s="18"/>
      <c r="F119" s="29"/>
      <c r="G119" s="18"/>
      <c r="H119" s="29"/>
      <c r="I119" s="28"/>
      <c r="J119" s="28"/>
      <c r="K119" s="28"/>
      <c r="L119" s="28"/>
      <c r="M119" s="28"/>
      <c r="N119" s="28"/>
      <c r="O119" s="30"/>
      <c r="P119" s="30"/>
      <c r="Q119" s="28"/>
      <c r="R119" s="28"/>
      <c r="U119" s="133"/>
    </row>
    <row r="120" spans="2:21">
      <c r="B120" s="27"/>
      <c r="C120" s="28"/>
      <c r="D120" s="18"/>
      <c r="E120" s="18"/>
      <c r="F120" s="29"/>
      <c r="G120" s="18"/>
      <c r="H120" s="29"/>
      <c r="I120" s="28"/>
      <c r="J120" s="28"/>
      <c r="K120" s="28"/>
      <c r="L120" s="28"/>
      <c r="M120" s="28"/>
      <c r="N120" s="28"/>
      <c r="O120" s="30"/>
      <c r="P120" s="30"/>
    </row>
    <row r="121" spans="2:21">
      <c r="B121" s="27"/>
      <c r="C121" s="28"/>
      <c r="D121" s="18"/>
      <c r="E121" s="18"/>
      <c r="F121" s="29"/>
      <c r="G121" s="18"/>
      <c r="H121" s="29"/>
      <c r="I121" s="28"/>
      <c r="J121" s="28"/>
      <c r="K121" s="28"/>
      <c r="L121" s="28"/>
      <c r="M121" s="28"/>
      <c r="N121" s="28"/>
      <c r="O121" s="30"/>
      <c r="P121" s="30"/>
    </row>
    <row r="122" spans="2:21">
      <c r="B122" s="27"/>
      <c r="C122" s="28"/>
      <c r="D122" s="18"/>
      <c r="E122" s="18"/>
      <c r="F122" s="29"/>
      <c r="G122" s="18"/>
      <c r="H122" s="29"/>
      <c r="I122" s="28"/>
      <c r="J122" s="28"/>
      <c r="K122" s="28"/>
      <c r="L122" s="28"/>
      <c r="M122" s="28"/>
      <c r="N122" s="28"/>
      <c r="O122" s="30"/>
      <c r="P122" s="30"/>
    </row>
    <row r="123" spans="2:21">
      <c r="B123" s="27"/>
      <c r="C123" s="28"/>
      <c r="D123" s="18"/>
      <c r="E123" s="18"/>
      <c r="F123" s="29"/>
      <c r="G123" s="18"/>
      <c r="H123" s="29"/>
      <c r="I123" s="28"/>
      <c r="J123" s="28"/>
      <c r="K123" s="28"/>
      <c r="L123" s="28"/>
      <c r="M123" s="28"/>
      <c r="N123" s="28"/>
      <c r="O123" s="30"/>
    </row>
    <row r="124" spans="2:21">
      <c r="B124" s="27"/>
      <c r="C124" s="28"/>
      <c r="D124" s="18"/>
      <c r="E124" s="18"/>
      <c r="F124" s="29"/>
      <c r="G124" s="18"/>
      <c r="H124" s="29"/>
      <c r="I124" s="28"/>
      <c r="J124" s="28"/>
      <c r="K124" s="28"/>
      <c r="L124" s="28"/>
      <c r="M124" s="28"/>
      <c r="N124" s="28"/>
      <c r="O124" s="30"/>
    </row>
    <row r="125" spans="2:21">
      <c r="B125" s="27"/>
      <c r="C125" s="28"/>
      <c r="D125" s="18"/>
      <c r="E125" s="18"/>
      <c r="F125" s="29"/>
      <c r="G125" s="18"/>
      <c r="H125" s="29"/>
      <c r="I125" s="28"/>
      <c r="J125" s="28"/>
      <c r="K125" s="28"/>
      <c r="L125" s="28"/>
      <c r="M125" s="28"/>
      <c r="N125" s="28"/>
      <c r="O125" s="30"/>
    </row>
    <row r="126" spans="2:21">
      <c r="B126" s="27"/>
      <c r="C126" s="28"/>
      <c r="D126" s="18"/>
      <c r="E126" s="18"/>
      <c r="F126" s="29"/>
      <c r="G126" s="18"/>
    </row>
    <row r="127" spans="2:21">
      <c r="B127" s="27"/>
      <c r="C127" s="28"/>
      <c r="D127" s="18"/>
      <c r="E127" s="18"/>
      <c r="F127" s="29"/>
    </row>
  </sheetData>
  <sheetProtection sheet="1" selectLockedCells="1"/>
  <mergeCells count="4">
    <mergeCell ref="Y6:Z6"/>
    <mergeCell ref="AB6:AC6"/>
    <mergeCell ref="B13:D13"/>
    <mergeCell ref="J13:L13"/>
  </mergeCells>
  <phoneticPr fontId="15" type="noConversion"/>
  <printOptions horizontalCentered="1"/>
  <pageMargins left="0.35" right="0.20972222222222223" top="0.27013888888888887" bottom="0.22013888888888888" header="0.51180555555555551" footer="0.51180555555555551"/>
  <pageSetup firstPageNumber="0" orientation="landscape" horizontalDpi="300" verticalDpi="300"/>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F127"/>
  <sheetViews>
    <sheetView showGridLines="0" showRowColHeaders="0" showZeros="0" showOutlineSymbols="0" topLeftCell="A4" zoomScale="180" zoomScaleNormal="180" workbookViewId="0">
      <selection activeCell="E16" sqref="E16"/>
    </sheetView>
  </sheetViews>
  <sheetFormatPr baseColWidth="10" defaultColWidth="8" defaultRowHeight="11"/>
  <cols>
    <col min="1" max="1" width="8" style="18" customWidth="1"/>
    <col min="2" max="2" width="8.1640625" style="19" customWidth="1"/>
    <col min="3" max="3" width="6.6640625" style="20" customWidth="1"/>
    <col min="4" max="5" width="6.6640625" style="21" customWidth="1"/>
    <col min="6" max="6" width="6.6640625" style="22" customWidth="1"/>
    <col min="7" max="7" width="6.6640625" style="21" customWidth="1"/>
    <col min="8" max="8" width="6.6640625" style="22" customWidth="1"/>
    <col min="9" max="9" width="6.6640625" style="20" customWidth="1"/>
    <col min="10" max="10" width="9.6640625" style="20" customWidth="1"/>
    <col min="11" max="11" width="6.6640625" style="20" customWidth="1"/>
    <col min="12" max="12" width="5.6640625" style="20" customWidth="1"/>
    <col min="13" max="13" width="6.6640625" style="20" customWidth="1"/>
    <col min="14" max="14" width="8.6640625" style="20" customWidth="1"/>
    <col min="15" max="16" width="6.6640625" style="23" customWidth="1"/>
    <col min="17" max="17" width="5.5" style="20" customWidth="1"/>
    <col min="18" max="18" width="7.33203125" style="20" customWidth="1"/>
    <col min="19" max="19" width="6.33203125" style="24" customWidth="1"/>
    <col min="20" max="20" width="6.1640625" style="25" customWidth="1"/>
    <col min="21" max="21" width="6.5" style="26" customWidth="1"/>
    <col min="22" max="34" width="8" style="18" customWidth="1"/>
    <col min="35" max="16384" width="8" style="18"/>
  </cols>
  <sheetData>
    <row r="1" spans="1:32" s="31" customFormat="1" ht="12">
      <c r="A1" s="18"/>
      <c r="B1" s="27"/>
      <c r="C1" s="28"/>
      <c r="D1" s="18"/>
      <c r="E1" s="18"/>
      <c r="F1" s="29"/>
      <c r="G1" s="18"/>
      <c r="H1" s="29"/>
      <c r="I1" s="28"/>
      <c r="J1" s="28"/>
      <c r="K1" s="28"/>
      <c r="L1" s="28"/>
      <c r="M1" s="28"/>
      <c r="N1" s="28"/>
      <c r="O1" s="30"/>
      <c r="P1" s="30"/>
      <c r="Q1" s="28"/>
      <c r="R1" s="28"/>
      <c r="S1" s="32"/>
      <c r="T1" s="32"/>
      <c r="U1" s="33"/>
      <c r="V1" s="34"/>
    </row>
    <row r="2" spans="1:32" s="31" customFormat="1" ht="14">
      <c r="B2" s="36" t="s">
        <v>116</v>
      </c>
      <c r="C2" s="37"/>
      <c r="D2" s="38"/>
      <c r="E2" s="38"/>
      <c r="F2" s="39"/>
      <c r="G2" s="38"/>
      <c r="H2" s="38"/>
      <c r="I2" s="39"/>
      <c r="J2" s="38"/>
      <c r="K2" s="39"/>
      <c r="L2" s="37"/>
      <c r="M2" s="37"/>
      <c r="N2" s="37"/>
      <c r="O2" s="40"/>
      <c r="Q2" s="165"/>
      <c r="R2"/>
      <c r="S2" s="55"/>
      <c r="T2" s="32"/>
      <c r="U2" s="32"/>
      <c r="V2" s="33"/>
    </row>
    <row r="3" spans="1:32" s="31" customFormat="1" ht="14">
      <c r="B3" s="41"/>
      <c r="C3" s="42" t="s">
        <v>118</v>
      </c>
      <c r="D3" s="43" t="s">
        <v>79</v>
      </c>
      <c r="E3" s="44"/>
      <c r="F3" s="45" t="s">
        <v>119</v>
      </c>
      <c r="G3" s="46" t="s">
        <v>221</v>
      </c>
      <c r="H3" s="44"/>
      <c r="I3" s="45" t="s">
        <v>121</v>
      </c>
      <c r="J3" s="47"/>
      <c r="K3" s="48"/>
      <c r="L3" s="49" t="s">
        <v>122</v>
      </c>
      <c r="M3" s="50"/>
      <c r="N3" s="48" t="s">
        <v>123</v>
      </c>
      <c r="O3" s="51"/>
      <c r="Q3" s="165" t="s">
        <v>115</v>
      </c>
      <c r="R3"/>
      <c r="S3" s="54"/>
      <c r="T3" s="35"/>
      <c r="U3" s="35"/>
    </row>
    <row r="4" spans="1:32" s="31" customFormat="1" ht="14">
      <c r="F4" s="52"/>
      <c r="J4" s="53"/>
      <c r="K4" s="54"/>
      <c r="L4" s="55"/>
      <c r="M4" s="53"/>
      <c r="N4" s="54"/>
      <c r="O4" s="56"/>
      <c r="Q4" s="165" t="s">
        <v>199</v>
      </c>
      <c r="R4"/>
      <c r="S4" s="54"/>
      <c r="T4" s="35"/>
      <c r="U4" s="35"/>
    </row>
    <row r="5" spans="1:32" s="31" customFormat="1" ht="14">
      <c r="B5" s="169" t="s">
        <v>222</v>
      </c>
      <c r="C5" s="57"/>
      <c r="D5" s="57"/>
      <c r="E5" s="58"/>
      <c r="F5" s="250">
        <v>30</v>
      </c>
      <c r="N5" s="35"/>
      <c r="O5" s="32"/>
      <c r="Q5" s="165" t="s">
        <v>231</v>
      </c>
      <c r="R5"/>
      <c r="S5" s="81"/>
      <c r="AB5" s="36" t="s">
        <v>232</v>
      </c>
      <c r="AC5" s="37"/>
      <c r="AD5" s="38"/>
      <c r="AE5" s="38"/>
      <c r="AF5" s="40"/>
    </row>
    <row r="6" spans="1:32" s="31" customFormat="1" ht="14">
      <c r="B6" s="169" t="s">
        <v>129</v>
      </c>
      <c r="C6" s="57"/>
      <c r="D6" s="57"/>
      <c r="E6" s="58"/>
      <c r="F6" s="250">
        <v>2.5</v>
      </c>
      <c r="G6" s="32" t="s">
        <v>130</v>
      </c>
      <c r="J6" s="59" t="s">
        <v>131</v>
      </c>
      <c r="K6" s="60"/>
      <c r="L6" s="61"/>
      <c r="M6" s="62"/>
      <c r="N6" s="35"/>
      <c r="O6" s="32"/>
      <c r="Q6" s="165" t="s">
        <v>125</v>
      </c>
      <c r="R6"/>
      <c r="S6" s="81"/>
      <c r="AB6" s="270" t="s">
        <v>133</v>
      </c>
      <c r="AC6" s="270"/>
      <c r="AD6" s="63"/>
      <c r="AE6" s="271" t="s">
        <v>134</v>
      </c>
      <c r="AF6" s="271"/>
    </row>
    <row r="7" spans="1:32" s="31" customFormat="1" ht="14">
      <c r="B7" s="169" t="s">
        <v>135</v>
      </c>
      <c r="C7" s="57"/>
      <c r="D7" s="57"/>
      <c r="E7" s="58"/>
      <c r="F7" s="251">
        <f>Front_Passengers+Rear_Passengers+Baggage_1+Baggage_2</f>
        <v>700</v>
      </c>
      <c r="G7" s="32"/>
      <c r="J7" s="252" t="s">
        <v>136</v>
      </c>
      <c r="K7" s="253"/>
      <c r="L7" s="254"/>
      <c r="M7" s="255">
        <v>2300</v>
      </c>
      <c r="N7" s="35"/>
      <c r="O7" s="32"/>
      <c r="Q7" s="165" t="s">
        <v>233</v>
      </c>
      <c r="R7"/>
      <c r="S7" s="81"/>
      <c r="AB7" s="64" t="s">
        <v>138</v>
      </c>
      <c r="AC7" s="65" t="s">
        <v>139</v>
      </c>
      <c r="AD7" s="66"/>
      <c r="AE7" s="67" t="s">
        <v>140</v>
      </c>
      <c r="AF7" s="68" t="s">
        <v>139</v>
      </c>
    </row>
    <row r="8" spans="1:32" s="31" customFormat="1" ht="14">
      <c r="B8" s="166" t="s">
        <v>234</v>
      </c>
      <c r="C8" s="57"/>
      <c r="D8" s="256"/>
      <c r="E8" s="257"/>
      <c r="F8" s="251">
        <f>(Departure_Fuel)/8</f>
        <v>3.5625</v>
      </c>
      <c r="G8" s="32" t="s">
        <v>130</v>
      </c>
      <c r="J8" s="258" t="s">
        <v>142</v>
      </c>
      <c r="K8" s="69"/>
      <c r="L8" s="70"/>
      <c r="M8" s="259">
        <f>Total_Departure_Weight</f>
        <v>2297.98</v>
      </c>
      <c r="N8" s="71">
        <f>M8/M7</f>
        <v>0.99912173913043478</v>
      </c>
      <c r="O8" s="32" t="s">
        <v>143</v>
      </c>
      <c r="Q8" s="165" t="s">
        <v>235</v>
      </c>
      <c r="R8"/>
      <c r="S8" s="81"/>
      <c r="AB8" s="72">
        <v>52</v>
      </c>
      <c r="AC8" s="73">
        <v>1500</v>
      </c>
      <c r="AD8" s="74"/>
      <c r="AE8" s="84">
        <v>34.700000000000003</v>
      </c>
      <c r="AF8" s="76">
        <f>AC8</f>
        <v>1500</v>
      </c>
    </row>
    <row r="9" spans="1:32" s="31" customFormat="1" ht="13">
      <c r="B9" s="166" t="s">
        <v>145</v>
      </c>
      <c r="C9" s="57"/>
      <c r="D9" s="256"/>
      <c r="E9" s="257"/>
      <c r="F9" s="260">
        <f>F8-F6</f>
        <v>1.0625</v>
      </c>
      <c r="G9" s="32" t="s">
        <v>130</v>
      </c>
      <c r="J9" s="261" t="s">
        <v>146</v>
      </c>
      <c r="K9" s="77"/>
      <c r="L9" s="78"/>
      <c r="M9" s="79">
        <f>M7-M8</f>
        <v>2.0199999999999818</v>
      </c>
      <c r="N9" s="80"/>
      <c r="O9" s="32"/>
      <c r="Q9" s="165" t="s">
        <v>227</v>
      </c>
      <c r="S9" s="81"/>
      <c r="AB9" s="72">
        <v>68</v>
      </c>
      <c r="AC9" s="73">
        <v>1950</v>
      </c>
      <c r="AD9" s="74"/>
      <c r="AE9" s="84">
        <v>34.700000000000003</v>
      </c>
      <c r="AF9" s="76">
        <f>AC9</f>
        <v>1950</v>
      </c>
    </row>
    <row r="10" spans="1:32" s="31" customFormat="1" ht="13">
      <c r="B10" s="167" t="s">
        <v>236</v>
      </c>
      <c r="C10" s="18"/>
      <c r="D10" s="262"/>
      <c r="E10" s="263"/>
      <c r="F10" s="264"/>
      <c r="G10" s="32"/>
      <c r="J10" s="265"/>
      <c r="K10" s="28"/>
      <c r="L10" s="18"/>
      <c r="M10" s="154"/>
      <c r="N10" s="35"/>
      <c r="O10" s="32"/>
      <c r="Q10" s="165" t="s">
        <v>237</v>
      </c>
      <c r="S10" s="81"/>
      <c r="AB10" s="72">
        <v>88</v>
      </c>
      <c r="AC10" s="73">
        <v>2300</v>
      </c>
      <c r="AD10" s="74"/>
      <c r="AE10" s="84">
        <f>AB10*1000/AC10</f>
        <v>38.260869565217391</v>
      </c>
      <c r="AF10" s="76">
        <f>AC10</f>
        <v>2300</v>
      </c>
    </row>
    <row r="11" spans="1:32" s="31" customFormat="1" ht="12">
      <c r="B11" s="93"/>
      <c r="C11" s="32"/>
      <c r="D11" s="32"/>
      <c r="G11" s="54"/>
      <c r="I11" s="54"/>
      <c r="J11" s="32"/>
      <c r="K11" s="32"/>
      <c r="L11" s="32"/>
      <c r="M11" s="32"/>
      <c r="O11" s="82"/>
      <c r="Q11" s="81"/>
      <c r="S11" s="81"/>
      <c r="AB11" s="72">
        <v>108</v>
      </c>
      <c r="AC11" s="73">
        <v>2300</v>
      </c>
      <c r="AD11" s="74"/>
      <c r="AE11" s="84">
        <v>47.4</v>
      </c>
      <c r="AF11" s="76">
        <f>AC11</f>
        <v>2300</v>
      </c>
    </row>
    <row r="12" spans="1:32" s="31" customFormat="1" ht="12">
      <c r="B12" s="36" t="s">
        <v>148</v>
      </c>
      <c r="C12" s="37"/>
      <c r="D12" s="38"/>
      <c r="E12" s="38"/>
      <c r="F12" s="39"/>
      <c r="G12" s="40"/>
      <c r="J12" s="36" t="s">
        <v>149</v>
      </c>
      <c r="K12" s="37"/>
      <c r="L12" s="38"/>
      <c r="M12" s="38"/>
      <c r="N12" s="39"/>
      <c r="O12" s="40"/>
      <c r="Q12" s="83"/>
      <c r="R12" s="31" t="s">
        <v>150</v>
      </c>
      <c r="S12" s="81"/>
      <c r="AB12" s="72">
        <v>71</v>
      </c>
      <c r="AC12" s="73">
        <v>1500</v>
      </c>
      <c r="AD12" s="74"/>
      <c r="AE12" s="84">
        <v>47.4</v>
      </c>
      <c r="AF12" s="76">
        <f>AC12</f>
        <v>1500</v>
      </c>
    </row>
    <row r="13" spans="1:32" s="31" customFormat="1" ht="12.75" customHeight="1">
      <c r="B13" s="272" t="s">
        <v>151</v>
      </c>
      <c r="C13" s="272"/>
      <c r="D13" s="272"/>
      <c r="E13" s="86" t="s">
        <v>139</v>
      </c>
      <c r="F13" s="88" t="s">
        <v>152</v>
      </c>
      <c r="G13" s="89" t="s">
        <v>138</v>
      </c>
      <c r="J13" s="272" t="s">
        <v>151</v>
      </c>
      <c r="K13" s="272"/>
      <c r="L13" s="272"/>
      <c r="M13" s="86" t="s">
        <v>139</v>
      </c>
      <c r="N13" s="88" t="s">
        <v>152</v>
      </c>
      <c r="O13" s="89" t="s">
        <v>138</v>
      </c>
      <c r="P13" s="81"/>
      <c r="S13" s="81"/>
      <c r="AB13" s="90" t="s">
        <v>209</v>
      </c>
      <c r="AC13" s="90"/>
      <c r="AD13" s="90"/>
    </row>
    <row r="14" spans="1:32" s="31" customFormat="1" ht="12">
      <c r="B14" s="91"/>
      <c r="C14" s="32"/>
      <c r="E14" s="92" t="s">
        <v>153</v>
      </c>
      <c r="F14" s="94" t="s">
        <v>154</v>
      </c>
      <c r="G14" s="95" t="s">
        <v>155</v>
      </c>
      <c r="J14" s="91"/>
      <c r="K14" s="32"/>
      <c r="M14" s="92" t="s">
        <v>153</v>
      </c>
      <c r="N14" s="94" t="s">
        <v>154</v>
      </c>
      <c r="O14" s="95" t="s">
        <v>155</v>
      </c>
      <c r="P14" s="81"/>
      <c r="S14" s="35"/>
      <c r="AB14" s="31" t="s">
        <v>210</v>
      </c>
      <c r="AE14" s="31" t="s">
        <v>211</v>
      </c>
    </row>
    <row r="15" spans="1:32" s="31" customFormat="1" ht="12">
      <c r="B15" s="96"/>
      <c r="C15" s="97"/>
      <c r="D15" s="98" t="s">
        <v>156</v>
      </c>
      <c r="E15" s="155">
        <v>1411.98</v>
      </c>
      <c r="F15" s="101">
        <f>IF(Empty_Weight,Empty_Moment*1000/Empty_Weight,"")</f>
        <v>39.502400883865207</v>
      </c>
      <c r="G15" s="102">
        <v>55.776600000000002</v>
      </c>
      <c r="J15" s="96"/>
      <c r="K15" s="97"/>
      <c r="L15" s="98" t="s">
        <v>156</v>
      </c>
      <c r="M15" s="155">
        <f>Empty_Weight</f>
        <v>1411.98</v>
      </c>
      <c r="N15" s="101">
        <f>Empty_Arm</f>
        <v>39.502400883865207</v>
      </c>
      <c r="O15" s="102">
        <f>Empty_Moment</f>
        <v>55.776600000000002</v>
      </c>
      <c r="P15" s="81"/>
      <c r="S15" s="35"/>
      <c r="V15" s="35"/>
      <c r="AB15" s="72">
        <v>52</v>
      </c>
      <c r="AC15" s="73">
        <v>1500</v>
      </c>
      <c r="AE15" s="84">
        <v>34.700000000000003</v>
      </c>
      <c r="AF15" s="76">
        <f>AC15</f>
        <v>1500</v>
      </c>
    </row>
    <row r="16" spans="1:32" s="31" customFormat="1" ht="12">
      <c r="B16" s="103"/>
      <c r="C16" s="104"/>
      <c r="D16" s="105" t="s">
        <v>157</v>
      </c>
      <c r="E16" s="106">
        <v>300</v>
      </c>
      <c r="F16" s="108">
        <v>37</v>
      </c>
      <c r="G16" s="109">
        <f>Front_Passengers*Front_Passenger_Arm/1000</f>
        <v>11.1</v>
      </c>
      <c r="J16" s="103"/>
      <c r="K16" s="104"/>
      <c r="L16" s="105" t="s">
        <v>157</v>
      </c>
      <c r="M16" s="110">
        <f>Front_Passengers</f>
        <v>300</v>
      </c>
      <c r="N16" s="108">
        <f>Front_Passenger_Arm</f>
        <v>37</v>
      </c>
      <c r="O16" s="109">
        <f>Front_Passenger_Moment</f>
        <v>11.1</v>
      </c>
      <c r="P16" s="81"/>
      <c r="R16" s="54"/>
      <c r="S16" s="35"/>
      <c r="V16" s="18"/>
      <c r="W16" s="18"/>
      <c r="X16" s="18"/>
      <c r="Y16" s="18"/>
      <c r="Z16" s="18"/>
      <c r="AB16" s="72">
        <v>68</v>
      </c>
      <c r="AC16" s="73">
        <v>1950</v>
      </c>
      <c r="AE16" s="84">
        <v>34.700000000000003</v>
      </c>
      <c r="AF16" s="76">
        <f>AC16</f>
        <v>1950</v>
      </c>
    </row>
    <row r="17" spans="2:32" ht="12">
      <c r="B17" s="111"/>
      <c r="C17" s="104"/>
      <c r="D17" s="112" t="s">
        <v>158</v>
      </c>
      <c r="E17" s="106">
        <v>360</v>
      </c>
      <c r="F17" s="108">
        <v>73</v>
      </c>
      <c r="G17" s="109">
        <f>Rear_Passengers*Rear_Passenger_Arm/1000</f>
        <v>26.28</v>
      </c>
      <c r="H17" s="31"/>
      <c r="I17" s="31"/>
      <c r="J17" s="111"/>
      <c r="K17" s="104"/>
      <c r="L17" s="112" t="s">
        <v>158</v>
      </c>
      <c r="M17" s="110">
        <f>Rear_Passengers</f>
        <v>360</v>
      </c>
      <c r="N17" s="108">
        <f>Rear_Passenger_Arm</f>
        <v>73</v>
      </c>
      <c r="O17" s="109">
        <f>Rear_Passenger_Moment</f>
        <v>26.28</v>
      </c>
      <c r="P17" s="81"/>
      <c r="Q17" s="31"/>
      <c r="R17" s="54"/>
      <c r="S17" s="113"/>
      <c r="T17" s="18"/>
      <c r="U17" s="18"/>
      <c r="AB17" s="72">
        <v>71</v>
      </c>
      <c r="AC17" s="73">
        <v>2000</v>
      </c>
      <c r="AE17" s="84">
        <v>35.25</v>
      </c>
      <c r="AF17" s="76">
        <f>AC17</f>
        <v>2000</v>
      </c>
    </row>
    <row r="18" spans="2:32" ht="12">
      <c r="B18" s="111"/>
      <c r="C18" s="104"/>
      <c r="D18" s="112" t="s">
        <v>213</v>
      </c>
      <c r="E18" s="157">
        <v>15</v>
      </c>
      <c r="F18" s="108">
        <v>-13.33</v>
      </c>
      <c r="G18" s="109">
        <f>E18*F18/1000</f>
        <v>-0.19994999999999999</v>
      </c>
      <c r="H18" s="31"/>
      <c r="I18" s="31"/>
      <c r="J18" s="111"/>
      <c r="K18" s="104"/>
      <c r="L18" s="112" t="s">
        <v>213</v>
      </c>
      <c r="M18" s="110">
        <f>E18</f>
        <v>15</v>
      </c>
      <c r="N18" s="108">
        <v>-13.33</v>
      </c>
      <c r="O18" s="109">
        <f>M18*N18/1000</f>
        <v>-0.19994999999999999</v>
      </c>
      <c r="P18" s="31"/>
      <c r="Q18" s="28"/>
      <c r="R18" s="28"/>
      <c r="S18" s="113"/>
      <c r="T18" s="18"/>
      <c r="U18" s="18"/>
      <c r="AB18" s="72">
        <v>81</v>
      </c>
      <c r="AC18" s="73">
        <v>2000</v>
      </c>
      <c r="AE18" s="84">
        <f>AB18*1000/AC18</f>
        <v>40.5</v>
      </c>
      <c r="AF18" s="76">
        <f>AC18</f>
        <v>2000</v>
      </c>
    </row>
    <row r="19" spans="2:32" ht="12">
      <c r="B19" s="114"/>
      <c r="C19" s="104"/>
      <c r="D19" s="112" t="s">
        <v>159</v>
      </c>
      <c r="E19" s="106">
        <v>15</v>
      </c>
      <c r="F19" s="108">
        <v>95</v>
      </c>
      <c r="G19" s="109">
        <f>Baggage_1*Baggage_1_Arm/1000</f>
        <v>1.425</v>
      </c>
      <c r="H19" s="31"/>
      <c r="I19" s="31"/>
      <c r="J19" s="114"/>
      <c r="K19" s="104"/>
      <c r="L19" s="112" t="s">
        <v>160</v>
      </c>
      <c r="M19" s="110">
        <f>Baggage_1</f>
        <v>15</v>
      </c>
      <c r="N19" s="108">
        <f>Baggage_1_Arm</f>
        <v>95</v>
      </c>
      <c r="O19" s="109">
        <f>Baggage_1_Moment</f>
        <v>1.425</v>
      </c>
      <c r="P19" s="31"/>
      <c r="Q19" s="28"/>
      <c r="R19" s="28"/>
      <c r="S19" s="18"/>
      <c r="T19" s="18"/>
      <c r="U19" s="18"/>
      <c r="AB19" s="72">
        <v>61</v>
      </c>
      <c r="AC19" s="73">
        <v>1500</v>
      </c>
      <c r="AE19" s="84">
        <v>40.5</v>
      </c>
      <c r="AF19" s="76">
        <f>AC19</f>
        <v>1500</v>
      </c>
    </row>
    <row r="20" spans="2:32" ht="12">
      <c r="B20" s="114"/>
      <c r="C20" s="104"/>
      <c r="D20" s="112" t="s">
        <v>214</v>
      </c>
      <c r="E20" s="106">
        <v>25</v>
      </c>
      <c r="F20" s="108">
        <v>123</v>
      </c>
      <c r="G20" s="109">
        <f>Baggage_2*Baggage_2_Arm/1000</f>
        <v>3.0750000000000002</v>
      </c>
      <c r="H20" s="31"/>
      <c r="I20" s="18"/>
      <c r="J20" s="114"/>
      <c r="K20" s="104"/>
      <c r="L20" s="112" t="s">
        <v>162</v>
      </c>
      <c r="M20" s="110">
        <f>Baggage_2</f>
        <v>25</v>
      </c>
      <c r="N20" s="108">
        <f>Baggage_2_Arm</f>
        <v>123</v>
      </c>
      <c r="O20" s="109">
        <f>Baggage_2_Moment</f>
        <v>3.0750000000000002</v>
      </c>
      <c r="P20" s="31"/>
      <c r="Q20" s="18"/>
      <c r="R20" s="18"/>
      <c r="S20" s="18"/>
      <c r="T20" s="18"/>
      <c r="U20" s="18"/>
    </row>
    <row r="21" spans="2:32" ht="14">
      <c r="B21" s="111"/>
      <c r="C21" s="117" t="s">
        <v>163</v>
      </c>
      <c r="D21" s="108">
        <f>F5-Grnd_Ops_Fuel</f>
        <v>28.5</v>
      </c>
      <c r="E21" s="110">
        <f>Departure_Fuel*6</f>
        <v>171</v>
      </c>
      <c r="F21" s="156">
        <v>47.807017543859651</v>
      </c>
      <c r="G21" s="109">
        <f>Departure_Fuel_Weight*Fuel_Arm/1000</f>
        <v>8.1750000000000007</v>
      </c>
      <c r="H21" s="31"/>
      <c r="I21" s="18"/>
      <c r="J21" s="111"/>
      <c r="K21" s="117" t="s">
        <v>238</v>
      </c>
      <c r="L21" s="108">
        <f>Departure_Fuel-F6*8.4</f>
        <v>7.5</v>
      </c>
      <c r="M21" s="110">
        <f>Arrival_Fuel*6</f>
        <v>45</v>
      </c>
      <c r="N21" s="108">
        <f>Fuel_Arm</f>
        <v>47.807017543859651</v>
      </c>
      <c r="O21" s="109">
        <f>Arrival_Fuel_Weight*Fuel_Arm/1000</f>
        <v>2.1513157894736841</v>
      </c>
      <c r="P21" s="30"/>
      <c r="Q21" s="18"/>
      <c r="R21" s="18"/>
      <c r="S21" s="18"/>
      <c r="T21" s="18"/>
      <c r="U21" s="18"/>
    </row>
    <row r="22" spans="2:32" ht="12">
      <c r="B22" s="111"/>
      <c r="C22" s="117" t="s">
        <v>165</v>
      </c>
      <c r="D22" s="120">
        <v>1.5</v>
      </c>
      <c r="E22" s="110"/>
      <c r="F22" s="108">
        <f>Fuel_Arm</f>
        <v>47.807017543859651</v>
      </c>
      <c r="G22" s="109">
        <f>Grnd_Ops_Fuel_Weight*Fuel_Arm/1000</f>
        <v>0</v>
      </c>
      <c r="H22" s="54"/>
      <c r="I22" s="18"/>
      <c r="J22" s="121"/>
      <c r="K22" s="122"/>
      <c r="L22" s="123" t="s">
        <v>166</v>
      </c>
      <c r="M22" s="124">
        <f>SUM(M15:M21)</f>
        <v>2171.98</v>
      </c>
      <c r="N22" s="125">
        <f>IF(Total_Arrival_Weight,Total_Arrival_Moment*1000/Total_Arrival_Weight,"")</f>
        <v>45.86044336940197</v>
      </c>
      <c r="O22" s="126">
        <f>SUM(O15:O21)</f>
        <v>99.607965789473681</v>
      </c>
      <c r="P22" s="30"/>
      <c r="Q22" s="18"/>
      <c r="R22" s="18"/>
      <c r="S22" s="18"/>
      <c r="T22" s="18"/>
      <c r="U22" s="18"/>
    </row>
    <row r="23" spans="2:32" ht="12">
      <c r="B23" s="121"/>
      <c r="C23" s="122"/>
      <c r="D23" s="123" t="s">
        <v>166</v>
      </c>
      <c r="E23" s="124">
        <f>SUM(E15:E22)</f>
        <v>2297.98</v>
      </c>
      <c r="F23" s="125">
        <f>IF(Total_Departure_Weight,Total_Departure_Moment*1000/Total_Departure_Weight,"")</f>
        <v>45.967175519369185</v>
      </c>
      <c r="G23" s="126">
        <f>SUM(G15:G22)</f>
        <v>105.63164999999999</v>
      </c>
      <c r="H23" s="54"/>
      <c r="I23" s="18"/>
      <c r="J23" s="128"/>
      <c r="K23" s="129"/>
      <c r="L23" s="130"/>
      <c r="M23" s="130"/>
      <c r="N23" s="131" t="s">
        <v>167</v>
      </c>
      <c r="O23" s="132">
        <f>Total_Arrival_Arm</f>
        <v>45.86044336940197</v>
      </c>
      <c r="P23" s="18"/>
      <c r="Q23" s="18"/>
      <c r="R23" s="18"/>
      <c r="S23" s="18"/>
      <c r="T23" s="18"/>
      <c r="U23" s="18"/>
    </row>
    <row r="24" spans="2:32" ht="12">
      <c r="B24" s="128"/>
      <c r="C24" s="129"/>
      <c r="D24" s="130"/>
      <c r="E24" s="130"/>
      <c r="F24" s="131" t="s">
        <v>167</v>
      </c>
      <c r="G24" s="132">
        <f>Total_Departure_Arm</f>
        <v>45.967175519369185</v>
      </c>
      <c r="H24" s="29"/>
      <c r="I24" s="28"/>
      <c r="J24" s="18"/>
      <c r="K24" s="18"/>
      <c r="L24" s="18"/>
      <c r="M24" s="18"/>
      <c r="N24" s="18"/>
      <c r="O24" s="30"/>
      <c r="P24" s="18"/>
      <c r="Q24" s="18"/>
      <c r="R24" s="18"/>
      <c r="S24" s="18"/>
      <c r="T24" s="18"/>
      <c r="U24" s="18"/>
    </row>
    <row r="25" spans="2:32">
      <c r="B25" s="18"/>
      <c r="C25" s="18"/>
      <c r="D25" s="18"/>
      <c r="E25" s="18"/>
      <c r="F25" s="18"/>
      <c r="G25" s="18"/>
      <c r="H25" s="29"/>
      <c r="I25" s="28"/>
      <c r="J25" s="18"/>
      <c r="K25" s="18"/>
      <c r="L25" s="18"/>
      <c r="M25" s="18"/>
      <c r="N25" s="18"/>
      <c r="O25" s="30"/>
      <c r="P25" s="18"/>
      <c r="Q25" s="18"/>
      <c r="R25" s="18"/>
      <c r="S25" s="18"/>
      <c r="T25" s="18"/>
      <c r="U25" s="133"/>
    </row>
    <row r="26" spans="2:32">
      <c r="B26" s="18"/>
      <c r="C26" s="18"/>
      <c r="D26" s="18"/>
      <c r="E26" s="18"/>
      <c r="F26" s="18"/>
      <c r="G26" s="18"/>
      <c r="H26" s="29"/>
      <c r="I26" s="28"/>
      <c r="J26" s="18"/>
      <c r="K26" s="18"/>
      <c r="L26" s="18"/>
      <c r="M26" s="18"/>
      <c r="N26" s="18"/>
      <c r="O26" s="18"/>
      <c r="P26" s="18"/>
      <c r="Q26" s="18"/>
      <c r="R26" s="18"/>
      <c r="S26" s="18"/>
      <c r="T26" s="18"/>
      <c r="U26" s="133"/>
    </row>
    <row r="27" spans="2:32">
      <c r="B27" s="18"/>
      <c r="C27" s="18"/>
      <c r="D27" s="18"/>
      <c r="E27" s="18"/>
      <c r="F27" s="18"/>
      <c r="G27" s="18"/>
      <c r="H27" s="29"/>
      <c r="I27" s="18"/>
      <c r="J27" s="18"/>
      <c r="K27" s="18"/>
      <c r="L27" s="18"/>
      <c r="M27" s="18"/>
      <c r="N27" s="18"/>
      <c r="O27" s="18"/>
      <c r="P27" s="18"/>
      <c r="Q27" s="18"/>
      <c r="R27" s="18"/>
      <c r="S27" s="18"/>
      <c r="T27" s="18"/>
      <c r="U27" s="133"/>
    </row>
    <row r="28" spans="2:32">
      <c r="B28" s="18"/>
      <c r="C28" s="18"/>
      <c r="D28" s="18"/>
      <c r="E28" s="18"/>
      <c r="F28" s="18"/>
      <c r="G28" s="18"/>
      <c r="H28" s="29"/>
      <c r="I28" s="28"/>
      <c r="J28" s="18"/>
      <c r="K28" s="18"/>
      <c r="L28" s="18"/>
      <c r="M28" s="18"/>
      <c r="N28" s="18"/>
      <c r="O28" s="18"/>
      <c r="P28" s="18"/>
      <c r="Q28" s="18"/>
      <c r="R28" s="18"/>
      <c r="S28" s="18"/>
      <c r="T28" s="18"/>
      <c r="U28" s="133"/>
    </row>
    <row r="29" spans="2:32">
      <c r="B29" s="18"/>
      <c r="C29" s="18"/>
      <c r="D29" s="18"/>
      <c r="E29" s="18"/>
      <c r="F29" s="18"/>
      <c r="G29" s="18"/>
      <c r="H29" s="29"/>
      <c r="I29" s="28"/>
      <c r="J29" s="18"/>
      <c r="K29" s="18"/>
      <c r="L29" s="18"/>
      <c r="M29" s="18"/>
      <c r="N29" s="18"/>
      <c r="O29" s="18"/>
      <c r="P29" s="18"/>
      <c r="Q29" s="18"/>
      <c r="R29" s="18"/>
      <c r="S29" s="18"/>
      <c r="T29" s="18"/>
      <c r="U29" s="133"/>
    </row>
    <row r="30" spans="2:32">
      <c r="B30" s="18"/>
      <c r="C30" s="18"/>
      <c r="D30" s="18"/>
      <c r="E30" s="18"/>
      <c r="F30" s="18"/>
      <c r="G30" s="18"/>
      <c r="H30" s="18"/>
      <c r="I30" s="18"/>
      <c r="J30" s="18"/>
      <c r="K30" s="18"/>
      <c r="L30" s="18"/>
      <c r="M30" s="18"/>
      <c r="N30" s="18"/>
      <c r="O30" s="18"/>
      <c r="P30" s="18"/>
      <c r="Q30" s="18"/>
      <c r="R30" s="18"/>
      <c r="S30" s="18"/>
      <c r="T30" s="18"/>
      <c r="U30" s="133"/>
    </row>
    <row r="31" spans="2:32">
      <c r="B31" s="18"/>
      <c r="C31" s="18"/>
      <c r="D31" s="18"/>
      <c r="E31" s="18"/>
      <c r="F31" s="18"/>
      <c r="G31" s="18"/>
      <c r="H31" s="18"/>
      <c r="I31" s="18"/>
      <c r="J31" s="18"/>
      <c r="K31" s="18"/>
      <c r="L31" s="18"/>
      <c r="M31" s="18"/>
      <c r="N31" s="18"/>
      <c r="O31" s="18"/>
      <c r="P31" s="18"/>
      <c r="Q31" s="18"/>
      <c r="R31" s="18"/>
      <c r="S31" s="18"/>
      <c r="T31" s="18"/>
      <c r="U31" s="133"/>
    </row>
    <row r="32" spans="2:32">
      <c r="B32" s="18"/>
      <c r="C32" s="18"/>
      <c r="D32" s="18"/>
      <c r="E32" s="18"/>
      <c r="F32" s="18"/>
      <c r="G32" s="18"/>
      <c r="H32" s="18"/>
      <c r="I32" s="18"/>
      <c r="J32" s="18"/>
      <c r="K32" s="18"/>
      <c r="L32" s="18"/>
      <c r="M32" s="18"/>
      <c r="N32" s="18"/>
      <c r="O32" s="18"/>
      <c r="P32" s="18"/>
      <c r="Q32" s="18"/>
      <c r="R32" s="18"/>
      <c r="S32" s="18"/>
      <c r="T32" s="18"/>
      <c r="U32" s="133"/>
    </row>
    <row r="33" spans="2:21">
      <c r="B33" s="18"/>
      <c r="C33" s="18"/>
      <c r="D33" s="18"/>
      <c r="E33" s="18"/>
      <c r="F33" s="18"/>
      <c r="G33" s="18"/>
      <c r="H33" s="18"/>
      <c r="I33" s="18"/>
      <c r="J33" s="28"/>
      <c r="K33" s="28"/>
      <c r="L33" s="28"/>
      <c r="M33" s="28"/>
      <c r="N33" s="28"/>
      <c r="O33" s="18"/>
      <c r="P33" s="18"/>
      <c r="Q33" s="18"/>
      <c r="R33" s="18"/>
      <c r="S33" s="18"/>
      <c r="T33" s="18"/>
      <c r="U33" s="133"/>
    </row>
    <row r="34" spans="2:21">
      <c r="B34" s="18"/>
      <c r="C34" s="18"/>
      <c r="D34" s="18"/>
      <c r="E34" s="18"/>
      <c r="F34" s="18"/>
      <c r="G34" s="18"/>
      <c r="H34" s="18"/>
      <c r="I34" s="18"/>
      <c r="J34" s="28"/>
      <c r="K34" s="28"/>
      <c r="L34" s="28"/>
      <c r="M34" s="28"/>
      <c r="N34" s="28"/>
      <c r="O34" s="18"/>
      <c r="P34" s="18"/>
      <c r="Q34" s="18"/>
      <c r="R34" s="18"/>
      <c r="S34" s="18"/>
      <c r="T34" s="18"/>
      <c r="U34" s="18"/>
    </row>
    <row r="35" spans="2:21">
      <c r="B35" s="18"/>
      <c r="C35" s="18"/>
      <c r="D35" s="18"/>
      <c r="E35" s="18"/>
      <c r="F35" s="18"/>
      <c r="G35" s="18"/>
      <c r="H35" s="18"/>
      <c r="I35" s="18"/>
      <c r="J35" s="28"/>
      <c r="K35" s="28"/>
      <c r="L35" s="28"/>
      <c r="M35" s="28"/>
      <c r="N35" s="28"/>
      <c r="O35" s="18"/>
      <c r="P35" s="18"/>
      <c r="Q35" s="133"/>
      <c r="R35" s="18"/>
      <c r="S35" s="18"/>
      <c r="T35" s="18"/>
      <c r="U35" s="18"/>
    </row>
    <row r="36" spans="2:21">
      <c r="B36" s="18"/>
      <c r="C36" s="18"/>
      <c r="D36" s="18"/>
      <c r="E36" s="18"/>
      <c r="F36" s="18"/>
      <c r="G36" s="18"/>
      <c r="H36" s="29"/>
      <c r="I36" s="28"/>
      <c r="J36" s="28"/>
      <c r="K36" s="28"/>
      <c r="L36" s="28"/>
      <c r="M36" s="28"/>
      <c r="N36" s="28"/>
      <c r="O36" s="18"/>
      <c r="P36" s="18"/>
      <c r="Q36" s="133"/>
      <c r="R36" s="18"/>
      <c r="S36" s="18"/>
      <c r="T36" s="18"/>
      <c r="U36" s="18"/>
    </row>
    <row r="37" spans="2:21">
      <c r="B37" s="27"/>
      <c r="C37" s="28"/>
      <c r="D37" s="18"/>
      <c r="E37" s="18"/>
      <c r="F37" s="29"/>
      <c r="G37" s="18"/>
      <c r="H37" s="29"/>
      <c r="I37" s="28"/>
      <c r="J37" s="28"/>
      <c r="K37" s="28"/>
      <c r="L37" s="28"/>
      <c r="M37" s="28"/>
      <c r="N37" s="28"/>
      <c r="O37" s="18"/>
      <c r="P37" s="18"/>
      <c r="Q37" s="18"/>
      <c r="R37" s="18"/>
      <c r="S37" s="18"/>
      <c r="T37" s="18"/>
      <c r="U37" s="18"/>
    </row>
    <row r="38" spans="2:21">
      <c r="B38" s="27"/>
      <c r="C38" s="28"/>
      <c r="D38" s="18"/>
      <c r="E38" s="18"/>
      <c r="F38" s="29"/>
      <c r="G38" s="18"/>
      <c r="H38" s="29"/>
      <c r="I38" s="28"/>
      <c r="J38" s="28"/>
      <c r="K38" s="28"/>
      <c r="L38" s="28"/>
      <c r="M38" s="28"/>
      <c r="N38" s="28"/>
      <c r="O38" s="18"/>
      <c r="P38" s="134"/>
      <c r="Q38" s="133"/>
      <c r="R38" s="18"/>
      <c r="S38" s="18"/>
      <c r="T38" s="18"/>
      <c r="U38" s="18"/>
    </row>
    <row r="39" spans="2:21">
      <c r="B39" s="27"/>
      <c r="C39" s="28"/>
      <c r="D39" s="18"/>
      <c r="E39" s="18"/>
      <c r="F39" s="29"/>
      <c r="G39" s="18"/>
      <c r="H39" s="29"/>
      <c r="I39" s="28"/>
      <c r="J39" s="28"/>
      <c r="K39" s="28"/>
      <c r="L39" s="28"/>
      <c r="M39" s="28"/>
      <c r="N39" s="28"/>
      <c r="O39" s="18"/>
      <c r="P39" s="134"/>
      <c r="Q39" s="133"/>
      <c r="R39" s="18"/>
      <c r="S39" s="18"/>
      <c r="T39" s="18"/>
      <c r="U39" s="18"/>
    </row>
    <row r="40" spans="2:21">
      <c r="B40" s="27"/>
      <c r="C40" s="28"/>
      <c r="D40" s="18"/>
      <c r="E40" s="18"/>
      <c r="F40" s="29"/>
      <c r="G40" s="18"/>
      <c r="H40" s="28"/>
      <c r="I40" s="28"/>
      <c r="J40" s="28"/>
      <c r="K40" s="30"/>
      <c r="L40" s="30"/>
      <c r="M40" s="28"/>
      <c r="N40" s="28"/>
      <c r="O40" s="18"/>
      <c r="P40" s="133"/>
      <c r="Q40" s="133"/>
      <c r="R40" s="18"/>
      <c r="S40" s="18"/>
      <c r="T40" s="18"/>
      <c r="U40" s="18"/>
    </row>
    <row r="41" spans="2:21">
      <c r="B41" s="18"/>
      <c r="C41" s="18"/>
      <c r="D41" s="29"/>
      <c r="E41" s="18"/>
      <c r="F41" s="18"/>
      <c r="G41" s="28"/>
      <c r="H41" s="28"/>
      <c r="I41" s="28"/>
      <c r="J41" s="28"/>
      <c r="K41" s="30"/>
      <c r="L41" s="30"/>
      <c r="M41" s="28"/>
      <c r="N41" s="28"/>
      <c r="O41" s="113"/>
      <c r="P41" s="134"/>
      <c r="Q41" s="134"/>
      <c r="R41" s="133"/>
      <c r="S41" s="113"/>
      <c r="T41" s="134"/>
      <c r="U41" s="18"/>
    </row>
    <row r="42" spans="2:21">
      <c r="B42" s="18"/>
      <c r="C42" s="18"/>
      <c r="D42" s="29"/>
      <c r="E42" s="18"/>
      <c r="F42" s="18"/>
      <c r="G42" s="28"/>
      <c r="H42" s="28"/>
      <c r="I42" s="28"/>
      <c r="J42" s="28"/>
      <c r="K42" s="30"/>
      <c r="L42" s="30"/>
      <c r="M42" s="28"/>
      <c r="N42" s="28"/>
      <c r="O42" s="113"/>
      <c r="P42" s="134"/>
      <c r="Q42" s="28"/>
      <c r="R42" s="28"/>
      <c r="S42" s="113"/>
      <c r="T42" s="134"/>
      <c r="U42" s="133"/>
    </row>
    <row r="43" spans="2:21">
      <c r="B43" s="18"/>
      <c r="C43" s="18"/>
      <c r="D43" s="29"/>
      <c r="E43" s="18"/>
      <c r="F43" s="18"/>
      <c r="G43" s="28"/>
      <c r="H43" s="28"/>
      <c r="I43" s="28"/>
      <c r="J43" s="30"/>
      <c r="K43" s="30"/>
      <c r="L43" s="28"/>
      <c r="M43" s="28"/>
      <c r="N43" s="113"/>
      <c r="O43" s="134"/>
      <c r="P43" s="134"/>
      <c r="Q43" s="28"/>
      <c r="R43" s="28"/>
      <c r="S43" s="113"/>
      <c r="T43" s="134"/>
      <c r="U43" s="133"/>
    </row>
    <row r="44" spans="2:21">
      <c r="B44" s="18"/>
      <c r="C44" s="18"/>
      <c r="D44" s="28"/>
      <c r="E44" s="18"/>
      <c r="F44" s="18"/>
      <c r="G44" s="28"/>
      <c r="H44" s="28"/>
      <c r="I44" s="28"/>
      <c r="J44" s="28"/>
      <c r="K44" s="30"/>
      <c r="L44" s="30"/>
      <c r="M44" s="28"/>
      <c r="N44" s="28"/>
      <c r="O44" s="113"/>
      <c r="P44" s="113"/>
      <c r="Q44" s="28"/>
      <c r="R44" s="28"/>
      <c r="S44" s="113"/>
      <c r="T44" s="134"/>
      <c r="U44" s="133"/>
    </row>
    <row r="45" spans="2:21">
      <c r="B45" s="27"/>
      <c r="C45" s="28"/>
      <c r="D45" s="135"/>
      <c r="E45" s="18"/>
      <c r="F45" s="18"/>
      <c r="G45" s="28"/>
      <c r="H45" s="28"/>
      <c r="I45" s="28"/>
      <c r="J45" s="30"/>
      <c r="K45" s="18" t="s">
        <v>168</v>
      </c>
      <c r="L45" s="28"/>
      <c r="M45" s="28"/>
      <c r="N45" s="113"/>
      <c r="O45" s="113"/>
      <c r="P45" s="30"/>
      <c r="Q45" s="28"/>
      <c r="R45" s="28"/>
      <c r="S45" s="113"/>
      <c r="T45" s="134"/>
      <c r="U45" s="133"/>
    </row>
    <row r="46" spans="2:21" ht="24">
      <c r="B46" s="18"/>
      <c r="C46" s="18"/>
      <c r="D46" s="136" t="s">
        <v>230</v>
      </c>
      <c r="E46" s="136" t="s">
        <v>218</v>
      </c>
      <c r="F46" s="137" t="s">
        <v>219</v>
      </c>
      <c r="G46" s="18"/>
      <c r="H46" s="18"/>
      <c r="I46" s="18"/>
      <c r="J46" s="138" t="s">
        <v>172</v>
      </c>
      <c r="K46" s="139" t="s">
        <v>173</v>
      </c>
      <c r="L46" s="140">
        <v>2500</v>
      </c>
      <c r="M46" s="140">
        <v>5000</v>
      </c>
      <c r="N46" s="140">
        <v>7500</v>
      </c>
      <c r="O46" s="140">
        <v>10000</v>
      </c>
      <c r="P46" s="30"/>
      <c r="Q46" s="28"/>
      <c r="R46" s="28"/>
      <c r="S46" s="113"/>
      <c r="T46" s="134"/>
      <c r="U46" s="133"/>
    </row>
    <row r="47" spans="2:21">
      <c r="B47" s="18"/>
      <c r="C47" s="141" t="s">
        <v>174</v>
      </c>
      <c r="D47" s="141">
        <v>112</v>
      </c>
      <c r="E47" s="142">
        <f>SQRT($E$23/2300)*D47</f>
        <v>111.95080658776949</v>
      </c>
      <c r="F47" s="142">
        <f>SQRT($M$22/2300)*D47</f>
        <v>108.83836663683405</v>
      </c>
      <c r="G47" s="18"/>
      <c r="H47" s="18"/>
      <c r="I47" s="143" t="s">
        <v>175</v>
      </c>
      <c r="J47" s="144">
        <v>68</v>
      </c>
      <c r="K47" s="145">
        <f>SQRT($E$23/2300)*J47</f>
        <v>67.970132571145768</v>
      </c>
      <c r="L47" s="145">
        <f>K47+1.25</f>
        <v>69.220132571145768</v>
      </c>
      <c r="M47" s="145">
        <f>L47+1.25</f>
        <v>70.470132571145768</v>
      </c>
      <c r="N47" s="145">
        <f>M47+1.25</f>
        <v>71.720132571145768</v>
      </c>
      <c r="O47" s="145">
        <f>N47+1.25</f>
        <v>72.970132571145768</v>
      </c>
      <c r="P47" s="30"/>
      <c r="Q47" s="28"/>
      <c r="R47" s="28"/>
      <c r="S47" s="113"/>
      <c r="T47" s="134"/>
      <c r="U47" s="133"/>
    </row>
    <row r="48" spans="2:21">
      <c r="B48" s="18"/>
      <c r="C48" s="141" t="s">
        <v>176</v>
      </c>
      <c r="D48" s="141">
        <v>80</v>
      </c>
      <c r="E48" s="142">
        <f>SQRT($E$23/2300)*D48</f>
        <v>79.964861848406784</v>
      </c>
      <c r="F48" s="142">
        <f>SQRT($M$22/2300)*D48</f>
        <v>77.741690454881478</v>
      </c>
      <c r="G48" s="18"/>
      <c r="H48" s="18"/>
      <c r="I48" s="147" t="s">
        <v>177</v>
      </c>
      <c r="J48" s="148">
        <v>91</v>
      </c>
      <c r="K48" s="149">
        <f>SQRT($E$23/2300)*J48</f>
        <v>90.960030352562711</v>
      </c>
      <c r="L48" s="149">
        <f>K48-1.5</f>
        <v>89.460030352562711</v>
      </c>
      <c r="M48" s="149">
        <f>L48-1.5</f>
        <v>87.960030352562711</v>
      </c>
      <c r="N48" s="149">
        <f>M48-1.5</f>
        <v>86.460030352562711</v>
      </c>
      <c r="O48" s="149">
        <f>N48-1.5</f>
        <v>84.960030352562711</v>
      </c>
      <c r="P48" s="30"/>
      <c r="Q48" s="28"/>
      <c r="R48" s="28"/>
      <c r="S48" s="113"/>
      <c r="T48" s="134"/>
      <c r="U48" s="133"/>
    </row>
    <row r="49" spans="2:21">
      <c r="B49" s="18"/>
      <c r="C49" s="147" t="s">
        <v>178</v>
      </c>
      <c r="D49" s="147">
        <v>54</v>
      </c>
      <c r="E49" s="150">
        <f>SQRT($E$23/2300)*D49</f>
        <v>53.976281747674577</v>
      </c>
      <c r="F49" s="150">
        <f>SQRT($M$22/2300)*D49</f>
        <v>52.475641057044996</v>
      </c>
      <c r="G49" s="18"/>
      <c r="H49" s="18"/>
      <c r="I49" s="18"/>
      <c r="J49" s="18"/>
      <c r="K49" s="18" t="s">
        <v>179</v>
      </c>
      <c r="L49" s="18"/>
      <c r="M49" s="18"/>
      <c r="N49" s="18"/>
      <c r="O49" s="18"/>
      <c r="P49" s="30"/>
      <c r="Q49" s="28"/>
      <c r="R49" s="28"/>
      <c r="S49" s="113"/>
      <c r="T49" s="134"/>
      <c r="U49" s="133"/>
    </row>
    <row r="50" spans="2:21">
      <c r="B50" s="18"/>
      <c r="C50" s="151" t="s">
        <v>180</v>
      </c>
      <c r="D50" s="151">
        <v>61</v>
      </c>
      <c r="E50" s="150">
        <f>SQRT($E$23/2300)*D50</f>
        <v>60.973207159410165</v>
      </c>
      <c r="F50" s="150">
        <f>SQRT($M$22/2300)*D50</f>
        <v>59.278038971847124</v>
      </c>
      <c r="G50" s="18"/>
      <c r="H50" s="18"/>
      <c r="I50" s="143" t="s">
        <v>175</v>
      </c>
      <c r="J50" s="144">
        <v>68</v>
      </c>
      <c r="K50" s="145">
        <f>SQRT($M$22/2300)*J50</f>
        <v>66.080436886649252</v>
      </c>
      <c r="L50" s="145">
        <f>K50+1.25</f>
        <v>67.330436886649252</v>
      </c>
      <c r="M50" s="145">
        <f>L50+1.25</f>
        <v>68.580436886649252</v>
      </c>
      <c r="N50" s="145">
        <f>M50+1.25</f>
        <v>69.830436886649252</v>
      </c>
      <c r="O50" s="145">
        <f>N50+1.25</f>
        <v>71.080436886649252</v>
      </c>
      <c r="P50" s="30"/>
      <c r="Q50" s="28"/>
      <c r="R50" s="28"/>
      <c r="S50" s="113"/>
      <c r="T50" s="134"/>
      <c r="U50" s="133"/>
    </row>
    <row r="51" spans="2:21">
      <c r="B51" s="144"/>
      <c r="C51" s="143" t="s">
        <v>181</v>
      </c>
      <c r="D51" s="153">
        <v>70</v>
      </c>
      <c r="E51" s="153">
        <f>SQRT($E$23/2300)*D51</f>
        <v>69.969254117355931</v>
      </c>
      <c r="F51" s="153">
        <f>SQRT($M$22/2300)*D51</f>
        <v>68.023979148021283</v>
      </c>
      <c r="G51" s="18"/>
      <c r="H51" s="18"/>
      <c r="I51" s="147" t="s">
        <v>177</v>
      </c>
      <c r="J51" s="148">
        <v>91</v>
      </c>
      <c r="K51" s="149">
        <f>SQRT($M$22/2300)*J51</f>
        <v>88.431172892427668</v>
      </c>
      <c r="L51" s="149">
        <f>K51-1.5</f>
        <v>86.931172892427668</v>
      </c>
      <c r="M51" s="149">
        <f>L51-1.5</f>
        <v>85.431172892427668</v>
      </c>
      <c r="N51" s="149">
        <f>M51-1.5</f>
        <v>83.931172892427668</v>
      </c>
      <c r="O51" s="149">
        <f>N51-1.5</f>
        <v>82.431172892427668</v>
      </c>
      <c r="P51" s="30"/>
      <c r="Q51" s="28"/>
      <c r="R51" s="28"/>
      <c r="S51" s="113"/>
      <c r="T51" s="134"/>
      <c r="U51" s="133"/>
    </row>
    <row r="52" spans="2:21">
      <c r="B52" s="18"/>
      <c r="C52" s="18"/>
      <c r="D52" s="18"/>
      <c r="E52" s="18"/>
      <c r="F52" s="18"/>
      <c r="G52" s="18"/>
      <c r="H52" s="18"/>
      <c r="I52" s="18"/>
      <c r="J52" s="18"/>
      <c r="K52" s="18"/>
      <c r="L52" s="28"/>
      <c r="M52" s="28"/>
      <c r="N52" s="28"/>
      <c r="O52" s="30"/>
      <c r="P52" s="30"/>
      <c r="Q52" s="28"/>
      <c r="R52" s="28"/>
      <c r="S52" s="113"/>
      <c r="T52" s="134"/>
      <c r="U52" s="133"/>
    </row>
    <row r="53" spans="2:21">
      <c r="B53" s="27"/>
      <c r="C53" s="28"/>
      <c r="D53" s="18"/>
      <c r="E53" s="18"/>
      <c r="F53" s="29"/>
      <c r="G53" s="18"/>
      <c r="H53" s="29"/>
      <c r="I53" s="28"/>
      <c r="J53" s="28"/>
      <c r="K53" s="28"/>
      <c r="L53" s="28"/>
      <c r="M53" s="28"/>
      <c r="N53" s="28"/>
      <c r="O53" s="30"/>
      <c r="P53" s="30"/>
      <c r="Q53" s="28"/>
      <c r="R53" s="28"/>
      <c r="S53" s="113"/>
      <c r="T53" s="134"/>
      <c r="U53" s="133"/>
    </row>
    <row r="54" spans="2:21">
      <c r="B54" s="27"/>
      <c r="C54" s="28"/>
      <c r="D54" s="18"/>
      <c r="E54" s="18"/>
      <c r="F54" s="29"/>
      <c r="G54" s="18"/>
      <c r="H54" s="29"/>
      <c r="I54" s="28"/>
      <c r="J54" s="28"/>
      <c r="K54" s="28"/>
      <c r="L54" s="28"/>
      <c r="M54" s="28"/>
      <c r="N54" s="28"/>
      <c r="O54" s="30"/>
      <c r="P54" s="30"/>
      <c r="Q54" s="28"/>
      <c r="R54" s="28"/>
      <c r="S54" s="113"/>
      <c r="T54" s="134"/>
      <c r="U54" s="133"/>
    </row>
    <row r="55" spans="2:21">
      <c r="B55" s="27"/>
      <c r="C55" s="28"/>
      <c r="D55" s="18"/>
      <c r="E55" s="18"/>
      <c r="F55" s="29"/>
      <c r="G55" s="18"/>
      <c r="H55" s="29"/>
      <c r="I55" s="28"/>
      <c r="J55" s="28"/>
      <c r="K55" s="28"/>
      <c r="L55" s="28"/>
      <c r="M55" s="28"/>
      <c r="N55" s="28"/>
      <c r="O55" s="30"/>
      <c r="P55" s="30"/>
      <c r="Q55" s="28"/>
      <c r="R55" s="28"/>
      <c r="S55" s="113"/>
      <c r="T55" s="134"/>
      <c r="U55" s="133"/>
    </row>
    <row r="56" spans="2:21">
      <c r="B56" s="27"/>
      <c r="C56" s="28"/>
      <c r="D56" s="18"/>
      <c r="E56" s="18"/>
      <c r="F56" s="29"/>
      <c r="G56" s="18"/>
      <c r="H56" s="29"/>
      <c r="I56" s="28"/>
      <c r="J56" s="28"/>
      <c r="K56" s="28"/>
      <c r="L56" s="28"/>
      <c r="M56" s="28"/>
      <c r="N56" s="28"/>
      <c r="O56" s="30"/>
      <c r="P56" s="30"/>
      <c r="Q56" s="28"/>
      <c r="R56" s="28"/>
      <c r="S56" s="113"/>
      <c r="T56" s="134"/>
      <c r="U56" s="133"/>
    </row>
    <row r="57" spans="2:21">
      <c r="B57" s="27"/>
      <c r="C57" s="28"/>
      <c r="D57" s="18"/>
      <c r="E57" s="18"/>
      <c r="F57" s="29"/>
      <c r="G57" s="18"/>
      <c r="H57" s="29"/>
      <c r="I57" s="28"/>
      <c r="J57" s="28"/>
      <c r="K57" s="28"/>
      <c r="L57" s="28"/>
      <c r="M57" s="28"/>
      <c r="N57" s="28"/>
      <c r="O57" s="30"/>
      <c r="P57" s="30"/>
      <c r="Q57" s="28"/>
      <c r="R57" s="28"/>
      <c r="S57" s="113"/>
      <c r="T57" s="134"/>
      <c r="U57" s="133"/>
    </row>
    <row r="58" spans="2:21">
      <c r="B58" s="27"/>
      <c r="C58" s="28"/>
      <c r="D58" s="18"/>
      <c r="E58" s="18"/>
      <c r="F58" s="29"/>
      <c r="G58" s="18"/>
      <c r="H58" s="29"/>
      <c r="I58" s="28"/>
      <c r="J58" s="28"/>
      <c r="K58" s="28"/>
      <c r="L58" s="28"/>
      <c r="M58" s="28"/>
      <c r="N58" s="28"/>
      <c r="O58" s="30"/>
      <c r="P58" s="30"/>
      <c r="Q58" s="28"/>
      <c r="R58" s="28"/>
      <c r="S58" s="113"/>
      <c r="T58" s="134"/>
      <c r="U58" s="133"/>
    </row>
    <row r="59" spans="2:21">
      <c r="B59" s="27"/>
      <c r="C59" s="28"/>
      <c r="D59" s="18"/>
      <c r="E59" s="18"/>
      <c r="F59" s="29"/>
      <c r="G59" s="18"/>
      <c r="H59" s="29"/>
      <c r="I59" s="28"/>
      <c r="J59" s="28"/>
      <c r="K59" s="28"/>
      <c r="L59" s="28"/>
      <c r="M59" s="28"/>
      <c r="N59" s="28"/>
      <c r="O59" s="30"/>
      <c r="P59" s="30"/>
      <c r="Q59" s="28"/>
      <c r="R59" s="28"/>
      <c r="S59" s="113"/>
      <c r="T59" s="134"/>
      <c r="U59" s="133"/>
    </row>
    <row r="60" spans="2:21">
      <c r="B60" s="27"/>
      <c r="C60" s="28"/>
      <c r="D60" s="18"/>
      <c r="E60" s="18"/>
      <c r="F60" s="29"/>
      <c r="G60" s="18"/>
      <c r="H60" s="29"/>
      <c r="I60" s="28"/>
      <c r="J60" s="28"/>
      <c r="K60" s="28"/>
      <c r="L60" s="28"/>
      <c r="M60" s="28"/>
      <c r="N60" s="28"/>
      <c r="O60" s="30"/>
      <c r="P60" s="30"/>
      <c r="Q60" s="28"/>
      <c r="R60" s="28"/>
      <c r="S60" s="113"/>
      <c r="T60" s="134"/>
      <c r="U60" s="133"/>
    </row>
    <row r="61" spans="2:21">
      <c r="B61" s="27"/>
      <c r="C61" s="28"/>
      <c r="D61" s="18"/>
      <c r="E61" s="18"/>
      <c r="F61" s="29"/>
      <c r="G61" s="18"/>
      <c r="H61" s="29"/>
      <c r="I61" s="28"/>
      <c r="J61" s="28"/>
      <c r="K61" s="28"/>
      <c r="L61" s="28"/>
      <c r="M61" s="28"/>
      <c r="N61" s="28"/>
      <c r="O61" s="30"/>
      <c r="P61" s="30"/>
      <c r="Q61" s="28"/>
      <c r="R61" s="28"/>
      <c r="S61" s="113"/>
      <c r="T61" s="134"/>
      <c r="U61" s="133"/>
    </row>
    <row r="62" spans="2:21">
      <c r="B62" s="27"/>
      <c r="C62" s="28"/>
      <c r="D62" s="18"/>
      <c r="E62" s="18"/>
      <c r="F62" s="29"/>
      <c r="G62" s="18"/>
      <c r="H62" s="29"/>
      <c r="I62" s="28"/>
      <c r="J62" s="28"/>
      <c r="K62" s="28"/>
      <c r="L62" s="28"/>
      <c r="M62" s="28"/>
      <c r="N62" s="28"/>
      <c r="O62" s="30"/>
      <c r="P62" s="30"/>
      <c r="Q62" s="28"/>
      <c r="R62" s="28"/>
      <c r="S62" s="113"/>
      <c r="T62" s="134"/>
      <c r="U62" s="133"/>
    </row>
    <row r="63" spans="2:21">
      <c r="B63" s="27"/>
      <c r="C63" s="28"/>
      <c r="D63" s="18"/>
      <c r="E63" s="18"/>
      <c r="F63" s="29"/>
      <c r="G63" s="18"/>
      <c r="H63" s="29"/>
      <c r="I63" s="28"/>
      <c r="J63" s="28"/>
      <c r="K63" s="28"/>
      <c r="L63" s="28"/>
      <c r="M63" s="28"/>
      <c r="N63" s="28"/>
      <c r="O63" s="30"/>
      <c r="P63" s="30"/>
      <c r="Q63" s="28"/>
      <c r="R63" s="28"/>
      <c r="S63" s="113"/>
      <c r="T63" s="134"/>
      <c r="U63" s="133"/>
    </row>
    <row r="64" spans="2:21">
      <c r="B64" s="27"/>
      <c r="C64" s="28"/>
      <c r="D64" s="18"/>
      <c r="E64" s="18"/>
      <c r="F64" s="29"/>
      <c r="G64" s="18"/>
      <c r="H64" s="29"/>
      <c r="I64" s="28"/>
      <c r="J64" s="28"/>
      <c r="K64" s="28"/>
      <c r="L64" s="28"/>
      <c r="M64" s="28"/>
      <c r="N64" s="28"/>
      <c r="O64" s="30"/>
      <c r="P64" s="30"/>
      <c r="Q64" s="28"/>
      <c r="R64" s="28"/>
      <c r="S64" s="113"/>
      <c r="T64" s="134"/>
      <c r="U64" s="133"/>
    </row>
    <row r="65" spans="2:21">
      <c r="B65" s="27"/>
      <c r="C65" s="28"/>
      <c r="D65" s="18"/>
      <c r="E65" s="18"/>
      <c r="F65" s="29"/>
      <c r="G65" s="18"/>
      <c r="H65" s="29"/>
      <c r="I65" s="28"/>
      <c r="J65" s="28"/>
      <c r="K65" s="28"/>
      <c r="L65" s="28"/>
      <c r="M65" s="28"/>
      <c r="N65" s="28"/>
      <c r="O65" s="30"/>
      <c r="P65" s="30"/>
      <c r="Q65" s="28"/>
      <c r="R65" s="28"/>
      <c r="S65" s="113"/>
      <c r="T65" s="134"/>
      <c r="U65" s="133"/>
    </row>
    <row r="66" spans="2:21">
      <c r="B66" s="27"/>
      <c r="C66" s="28"/>
      <c r="D66" s="18"/>
      <c r="E66" s="18"/>
      <c r="F66" s="29"/>
      <c r="G66" s="18"/>
      <c r="H66" s="29"/>
      <c r="I66" s="28"/>
      <c r="J66" s="28"/>
      <c r="K66" s="28"/>
      <c r="L66" s="28"/>
      <c r="M66" s="28"/>
      <c r="N66" s="28"/>
      <c r="O66" s="30"/>
      <c r="P66" s="30"/>
      <c r="Q66" s="28"/>
      <c r="R66" s="28"/>
      <c r="S66" s="113"/>
      <c r="T66" s="134"/>
      <c r="U66" s="133"/>
    </row>
    <row r="67" spans="2:21">
      <c r="B67" s="27"/>
      <c r="C67" s="28"/>
      <c r="D67" s="18"/>
      <c r="E67" s="18"/>
      <c r="F67" s="29"/>
      <c r="G67" s="18"/>
      <c r="H67" s="29"/>
      <c r="I67" s="28"/>
      <c r="J67" s="28"/>
      <c r="K67" s="28"/>
      <c r="L67" s="28"/>
      <c r="M67" s="28"/>
      <c r="N67" s="28"/>
      <c r="O67" s="30"/>
      <c r="P67" s="30"/>
      <c r="Q67" s="28"/>
      <c r="R67" s="28"/>
      <c r="S67" s="113"/>
      <c r="T67" s="134"/>
      <c r="U67" s="133"/>
    </row>
    <row r="68" spans="2:21">
      <c r="B68" s="27"/>
      <c r="C68" s="28"/>
      <c r="D68" s="18"/>
      <c r="E68" s="18"/>
      <c r="F68" s="29"/>
      <c r="G68" s="18"/>
      <c r="H68" s="29"/>
      <c r="I68" s="28"/>
      <c r="J68" s="28"/>
      <c r="K68" s="28"/>
      <c r="L68" s="28"/>
      <c r="M68" s="28"/>
      <c r="N68" s="28"/>
      <c r="O68" s="30"/>
      <c r="P68" s="30"/>
      <c r="Q68" s="28"/>
      <c r="R68" s="28"/>
      <c r="S68" s="113"/>
      <c r="T68" s="134"/>
      <c r="U68" s="133"/>
    </row>
    <row r="69" spans="2:21">
      <c r="B69" s="27"/>
      <c r="C69" s="28"/>
      <c r="D69" s="18"/>
      <c r="E69" s="18"/>
      <c r="F69" s="29"/>
      <c r="G69" s="18"/>
      <c r="H69" s="29"/>
      <c r="I69" s="28"/>
      <c r="J69" s="28"/>
      <c r="K69" s="28"/>
      <c r="L69" s="28"/>
      <c r="M69" s="28"/>
      <c r="N69" s="28"/>
      <c r="O69" s="30"/>
      <c r="P69" s="30"/>
      <c r="Q69" s="28"/>
      <c r="R69" s="28"/>
      <c r="S69" s="113"/>
      <c r="T69" s="134"/>
      <c r="U69" s="133"/>
    </row>
    <row r="70" spans="2:21">
      <c r="B70" s="27"/>
      <c r="C70" s="28"/>
      <c r="D70" s="18"/>
      <c r="E70" s="18"/>
      <c r="F70" s="29"/>
      <c r="G70" s="18"/>
      <c r="H70" s="29"/>
      <c r="I70" s="28"/>
      <c r="J70" s="28"/>
      <c r="K70" s="28"/>
      <c r="L70" s="28"/>
      <c r="M70" s="28"/>
      <c r="N70" s="28"/>
      <c r="O70" s="30"/>
      <c r="P70" s="30"/>
      <c r="Q70" s="28"/>
      <c r="R70" s="28"/>
      <c r="S70" s="113"/>
      <c r="T70" s="134"/>
      <c r="U70" s="133"/>
    </row>
    <row r="71" spans="2:21">
      <c r="B71" s="27"/>
      <c r="C71" s="28"/>
      <c r="D71" s="18"/>
      <c r="E71" s="18"/>
      <c r="F71" s="29"/>
      <c r="G71" s="18"/>
      <c r="H71" s="29"/>
      <c r="I71" s="28"/>
      <c r="J71" s="28"/>
      <c r="K71" s="28"/>
      <c r="L71" s="28"/>
      <c r="M71" s="28"/>
      <c r="N71" s="28"/>
      <c r="O71" s="30"/>
      <c r="P71" s="30"/>
      <c r="Q71" s="28"/>
      <c r="R71" s="28"/>
      <c r="S71" s="113"/>
      <c r="T71" s="134"/>
      <c r="U71" s="133"/>
    </row>
    <row r="72" spans="2:21">
      <c r="B72" s="27"/>
      <c r="C72" s="28"/>
      <c r="D72" s="18"/>
      <c r="E72" s="18"/>
      <c r="F72" s="29"/>
      <c r="G72" s="18"/>
      <c r="H72" s="29"/>
      <c r="I72" s="28"/>
      <c r="J72" s="28"/>
      <c r="K72" s="28"/>
      <c r="L72" s="28"/>
      <c r="M72" s="28"/>
      <c r="N72" s="28"/>
      <c r="O72" s="30"/>
      <c r="P72" s="30"/>
      <c r="Q72" s="28"/>
      <c r="R72" s="28"/>
      <c r="S72" s="113"/>
      <c r="T72" s="134"/>
      <c r="U72" s="133"/>
    </row>
    <row r="73" spans="2:21">
      <c r="B73" s="27"/>
      <c r="C73" s="28"/>
      <c r="D73" s="18"/>
      <c r="E73" s="18"/>
      <c r="F73" s="29"/>
      <c r="G73" s="18"/>
      <c r="H73" s="29"/>
      <c r="I73" s="28"/>
      <c r="J73" s="28"/>
      <c r="K73" s="28"/>
      <c r="L73" s="28"/>
      <c r="M73" s="28"/>
      <c r="N73" s="28"/>
      <c r="O73" s="30"/>
      <c r="P73" s="30"/>
      <c r="Q73" s="28"/>
      <c r="R73" s="28"/>
      <c r="S73" s="113"/>
      <c r="T73" s="134"/>
      <c r="U73" s="133"/>
    </row>
    <row r="74" spans="2:21">
      <c r="B74" s="27"/>
      <c r="C74" s="28"/>
      <c r="D74" s="18"/>
      <c r="E74" s="18"/>
      <c r="F74" s="29"/>
      <c r="G74" s="18"/>
      <c r="H74" s="29"/>
      <c r="I74" s="28"/>
      <c r="J74" s="28"/>
      <c r="K74" s="28"/>
      <c r="L74" s="28"/>
      <c r="M74" s="28"/>
      <c r="N74" s="28"/>
      <c r="O74" s="30"/>
      <c r="P74" s="30"/>
      <c r="Q74" s="28"/>
      <c r="R74" s="28"/>
      <c r="S74" s="113"/>
      <c r="T74" s="134"/>
      <c r="U74" s="133"/>
    </row>
    <row r="75" spans="2:21">
      <c r="B75" s="27"/>
      <c r="C75" s="28"/>
      <c r="D75" s="18"/>
      <c r="E75" s="18"/>
      <c r="F75" s="29"/>
      <c r="G75" s="18"/>
      <c r="H75" s="29"/>
      <c r="I75" s="28"/>
      <c r="J75" s="28"/>
      <c r="K75" s="28"/>
      <c r="L75" s="28"/>
      <c r="M75" s="28"/>
      <c r="N75" s="28"/>
      <c r="O75" s="30"/>
      <c r="P75" s="30"/>
      <c r="Q75" s="28"/>
      <c r="R75" s="28"/>
      <c r="S75" s="113"/>
      <c r="T75" s="134"/>
      <c r="U75" s="133"/>
    </row>
    <row r="76" spans="2:21">
      <c r="B76" s="27"/>
      <c r="C76" s="28"/>
      <c r="D76" s="18"/>
      <c r="E76" s="18"/>
      <c r="F76" s="29"/>
      <c r="G76" s="18"/>
      <c r="H76" s="29"/>
      <c r="I76" s="28"/>
      <c r="J76" s="28"/>
      <c r="K76" s="28"/>
      <c r="L76" s="28"/>
      <c r="M76" s="28"/>
      <c r="N76" s="28"/>
      <c r="O76" s="30"/>
      <c r="P76" s="30"/>
      <c r="Q76" s="28"/>
      <c r="R76" s="28"/>
      <c r="S76" s="113"/>
      <c r="T76" s="134"/>
      <c r="U76" s="133"/>
    </row>
    <row r="77" spans="2:21">
      <c r="B77" s="27"/>
      <c r="C77" s="28"/>
      <c r="D77" s="18"/>
      <c r="E77" s="18"/>
      <c r="F77" s="29"/>
      <c r="G77" s="18"/>
      <c r="H77" s="29"/>
      <c r="I77" s="28"/>
      <c r="J77" s="28"/>
      <c r="K77" s="28"/>
      <c r="L77" s="28"/>
      <c r="M77" s="28"/>
      <c r="N77" s="28"/>
      <c r="O77" s="30"/>
      <c r="P77" s="30"/>
      <c r="Q77" s="28"/>
      <c r="R77" s="28"/>
      <c r="S77" s="113"/>
      <c r="T77" s="134"/>
      <c r="U77" s="133"/>
    </row>
    <row r="78" spans="2:21">
      <c r="B78" s="27"/>
      <c r="C78" s="28"/>
      <c r="D78" s="18"/>
      <c r="E78" s="18"/>
      <c r="F78" s="29"/>
      <c r="G78" s="18"/>
      <c r="H78" s="29"/>
      <c r="I78" s="28"/>
      <c r="J78" s="28"/>
      <c r="K78" s="28"/>
      <c r="L78" s="28"/>
      <c r="M78" s="28"/>
      <c r="N78" s="28"/>
      <c r="O78" s="30"/>
      <c r="P78" s="30"/>
      <c r="Q78" s="28"/>
      <c r="R78" s="28"/>
      <c r="S78" s="113"/>
      <c r="T78" s="134"/>
      <c r="U78" s="133"/>
    </row>
    <row r="79" spans="2:21">
      <c r="B79" s="27"/>
      <c r="C79" s="28"/>
      <c r="D79" s="18"/>
      <c r="E79" s="18"/>
      <c r="F79" s="29"/>
      <c r="G79" s="18"/>
      <c r="H79" s="29"/>
      <c r="I79" s="28"/>
      <c r="J79" s="28"/>
      <c r="K79" s="28"/>
      <c r="L79" s="28"/>
      <c r="M79" s="28"/>
      <c r="N79" s="28"/>
      <c r="O79" s="30"/>
      <c r="P79" s="30"/>
      <c r="Q79" s="28"/>
      <c r="R79" s="28"/>
      <c r="S79" s="113"/>
      <c r="T79" s="134"/>
      <c r="U79" s="133"/>
    </row>
    <row r="80" spans="2:21">
      <c r="B80" s="27"/>
      <c r="C80" s="28"/>
      <c r="D80" s="18"/>
      <c r="E80" s="18"/>
      <c r="F80" s="29"/>
      <c r="G80" s="18"/>
      <c r="H80" s="29"/>
      <c r="I80" s="28"/>
      <c r="J80" s="28"/>
      <c r="K80" s="28"/>
      <c r="L80" s="28"/>
      <c r="M80" s="28"/>
      <c r="N80" s="28"/>
      <c r="O80" s="30"/>
      <c r="P80" s="30"/>
      <c r="Q80" s="28"/>
      <c r="R80" s="28"/>
      <c r="S80" s="113"/>
      <c r="T80" s="134"/>
      <c r="U80" s="133"/>
    </row>
    <row r="81" spans="2:21">
      <c r="B81" s="27"/>
      <c r="C81" s="28"/>
      <c r="D81" s="18"/>
      <c r="E81" s="18"/>
      <c r="F81" s="29"/>
      <c r="G81" s="18"/>
      <c r="H81" s="29"/>
      <c r="I81" s="28"/>
      <c r="J81" s="28"/>
      <c r="K81" s="28"/>
      <c r="L81" s="28"/>
      <c r="M81" s="28"/>
      <c r="N81" s="28"/>
      <c r="O81" s="30"/>
      <c r="P81" s="30"/>
      <c r="Q81" s="28"/>
      <c r="R81" s="28"/>
      <c r="S81" s="113"/>
      <c r="T81" s="134"/>
      <c r="U81" s="133"/>
    </row>
    <row r="82" spans="2:21">
      <c r="B82" s="27"/>
      <c r="C82" s="28"/>
      <c r="D82" s="18"/>
      <c r="E82" s="18"/>
      <c r="F82" s="29"/>
      <c r="G82" s="18"/>
      <c r="H82" s="29"/>
      <c r="I82" s="28"/>
      <c r="J82" s="28"/>
      <c r="K82" s="28"/>
      <c r="L82" s="28"/>
      <c r="M82" s="28"/>
      <c r="N82" s="28"/>
      <c r="O82" s="30"/>
      <c r="P82" s="30"/>
      <c r="Q82" s="28"/>
      <c r="R82" s="28"/>
      <c r="S82" s="113"/>
      <c r="T82" s="134"/>
      <c r="U82" s="133"/>
    </row>
    <row r="83" spans="2:21">
      <c r="B83" s="27"/>
      <c r="C83" s="28"/>
      <c r="D83" s="18"/>
      <c r="E83" s="18"/>
      <c r="F83" s="29"/>
      <c r="G83" s="18"/>
      <c r="H83" s="29"/>
      <c r="I83" s="28"/>
      <c r="J83" s="28"/>
      <c r="K83" s="28"/>
      <c r="L83" s="28"/>
      <c r="M83" s="28"/>
      <c r="N83" s="28"/>
      <c r="O83" s="30"/>
      <c r="P83" s="30"/>
      <c r="Q83" s="28"/>
      <c r="R83" s="28"/>
      <c r="S83" s="113"/>
      <c r="T83" s="134"/>
      <c r="U83" s="133"/>
    </row>
    <row r="84" spans="2:21">
      <c r="B84" s="27"/>
      <c r="C84" s="28"/>
      <c r="D84" s="18"/>
      <c r="E84" s="18"/>
      <c r="F84" s="29"/>
      <c r="G84" s="18"/>
      <c r="H84" s="29"/>
      <c r="I84" s="28"/>
      <c r="J84" s="28"/>
      <c r="K84" s="28"/>
      <c r="L84" s="28"/>
      <c r="M84" s="28"/>
      <c r="N84" s="28"/>
      <c r="O84" s="30"/>
      <c r="P84" s="30"/>
      <c r="Q84" s="28"/>
      <c r="R84" s="28"/>
      <c r="S84" s="113"/>
      <c r="T84" s="134"/>
      <c r="U84" s="133"/>
    </row>
    <row r="85" spans="2:21">
      <c r="B85" s="27"/>
      <c r="C85" s="28"/>
      <c r="D85" s="18"/>
      <c r="E85" s="18"/>
      <c r="F85" s="29"/>
      <c r="G85" s="18"/>
      <c r="H85" s="29"/>
      <c r="I85" s="28"/>
      <c r="J85" s="28"/>
      <c r="K85" s="28"/>
      <c r="L85" s="28"/>
      <c r="M85" s="28"/>
      <c r="N85" s="28"/>
      <c r="O85" s="30"/>
      <c r="P85" s="30"/>
      <c r="Q85" s="28"/>
      <c r="R85" s="28"/>
      <c r="S85" s="113"/>
      <c r="T85" s="134"/>
      <c r="U85" s="133"/>
    </row>
    <row r="86" spans="2:21">
      <c r="B86" s="27"/>
      <c r="C86" s="28"/>
      <c r="D86" s="18"/>
      <c r="E86" s="18"/>
      <c r="F86" s="29"/>
      <c r="G86" s="18"/>
      <c r="H86" s="29"/>
      <c r="I86" s="28"/>
      <c r="J86" s="28"/>
      <c r="K86" s="28"/>
      <c r="L86" s="28"/>
      <c r="M86" s="28"/>
      <c r="N86" s="28"/>
      <c r="O86" s="30"/>
      <c r="P86" s="30"/>
      <c r="Q86" s="28"/>
      <c r="R86" s="28"/>
      <c r="S86" s="113"/>
      <c r="T86" s="134"/>
      <c r="U86" s="133"/>
    </row>
    <row r="87" spans="2:21">
      <c r="B87" s="27"/>
      <c r="C87" s="28"/>
      <c r="D87" s="18"/>
      <c r="E87" s="18"/>
      <c r="F87" s="29"/>
      <c r="G87" s="18"/>
      <c r="H87" s="29"/>
      <c r="I87" s="28"/>
      <c r="J87" s="28"/>
      <c r="K87" s="28"/>
      <c r="L87" s="28"/>
      <c r="M87" s="28"/>
      <c r="N87" s="28"/>
      <c r="O87" s="30"/>
      <c r="P87" s="30"/>
      <c r="Q87" s="28"/>
      <c r="R87" s="28"/>
      <c r="S87" s="113"/>
      <c r="T87" s="134"/>
      <c r="U87" s="133"/>
    </row>
    <row r="88" spans="2:21">
      <c r="B88" s="27"/>
      <c r="C88" s="28"/>
      <c r="D88" s="18"/>
      <c r="E88" s="18"/>
      <c r="F88" s="29"/>
      <c r="G88" s="18"/>
      <c r="H88" s="29"/>
      <c r="I88" s="28"/>
      <c r="J88" s="28"/>
      <c r="K88" s="28"/>
      <c r="L88" s="28"/>
      <c r="M88" s="28"/>
      <c r="N88" s="28"/>
      <c r="O88" s="30"/>
      <c r="P88" s="30"/>
      <c r="Q88" s="28"/>
      <c r="R88" s="28"/>
      <c r="S88" s="113"/>
      <c r="T88" s="134"/>
      <c r="U88" s="133"/>
    </row>
    <row r="89" spans="2:21">
      <c r="B89" s="27"/>
      <c r="C89" s="28"/>
      <c r="D89" s="18"/>
      <c r="E89" s="18"/>
      <c r="F89" s="29"/>
      <c r="G89" s="18"/>
      <c r="H89" s="29"/>
      <c r="I89" s="28"/>
      <c r="J89" s="28"/>
      <c r="K89" s="28"/>
      <c r="L89" s="28"/>
      <c r="M89" s="28"/>
      <c r="N89" s="28"/>
      <c r="O89" s="30"/>
      <c r="P89" s="30"/>
      <c r="Q89" s="28"/>
      <c r="R89" s="28"/>
      <c r="S89" s="113"/>
      <c r="T89" s="134"/>
      <c r="U89" s="133"/>
    </row>
    <row r="90" spans="2:21">
      <c r="B90" s="27"/>
      <c r="C90" s="28"/>
      <c r="D90" s="18"/>
      <c r="E90" s="18"/>
      <c r="F90" s="29"/>
      <c r="G90" s="18"/>
      <c r="H90" s="29"/>
      <c r="I90" s="28"/>
      <c r="J90" s="28"/>
      <c r="K90" s="28"/>
      <c r="L90" s="28"/>
      <c r="M90" s="28"/>
      <c r="N90" s="28"/>
      <c r="O90" s="30"/>
      <c r="P90" s="30"/>
      <c r="Q90" s="28"/>
      <c r="R90" s="28"/>
      <c r="S90" s="113"/>
      <c r="T90" s="134"/>
      <c r="U90" s="133"/>
    </row>
    <row r="91" spans="2:21">
      <c r="B91" s="27"/>
      <c r="C91" s="28"/>
      <c r="D91" s="18"/>
      <c r="E91" s="18"/>
      <c r="F91" s="29"/>
      <c r="G91" s="18"/>
      <c r="H91" s="29"/>
      <c r="I91" s="28"/>
      <c r="J91" s="28"/>
      <c r="K91" s="28"/>
      <c r="L91" s="28"/>
      <c r="M91" s="28"/>
      <c r="N91" s="28"/>
      <c r="O91" s="30"/>
      <c r="P91" s="30"/>
      <c r="Q91" s="28"/>
      <c r="R91" s="28"/>
      <c r="S91" s="113"/>
      <c r="T91" s="134"/>
      <c r="U91" s="133"/>
    </row>
    <row r="92" spans="2:21">
      <c r="B92" s="27"/>
      <c r="C92" s="28"/>
      <c r="D92" s="18"/>
      <c r="E92" s="18"/>
      <c r="F92" s="29"/>
      <c r="G92" s="18"/>
      <c r="H92" s="29"/>
      <c r="I92" s="28"/>
      <c r="J92" s="28"/>
      <c r="K92" s="28"/>
      <c r="L92" s="28"/>
      <c r="M92" s="28"/>
      <c r="N92" s="28"/>
      <c r="O92" s="30"/>
      <c r="P92" s="30"/>
      <c r="Q92" s="28"/>
      <c r="R92" s="28"/>
      <c r="S92" s="113"/>
      <c r="T92" s="134"/>
      <c r="U92" s="133"/>
    </row>
    <row r="93" spans="2:21">
      <c r="B93" s="27"/>
      <c r="C93" s="28"/>
      <c r="D93" s="18"/>
      <c r="E93" s="18"/>
      <c r="F93" s="29"/>
      <c r="G93" s="18"/>
      <c r="H93" s="29"/>
      <c r="I93" s="28"/>
      <c r="J93" s="28"/>
      <c r="K93" s="28"/>
      <c r="L93" s="28"/>
      <c r="M93" s="28"/>
      <c r="N93" s="28"/>
      <c r="O93" s="30"/>
      <c r="P93" s="30"/>
      <c r="Q93" s="28"/>
      <c r="R93" s="28"/>
      <c r="S93" s="113"/>
      <c r="T93" s="134"/>
      <c r="U93" s="133"/>
    </row>
    <row r="94" spans="2:21">
      <c r="B94" s="27"/>
      <c r="C94" s="28"/>
      <c r="D94" s="18"/>
      <c r="E94" s="18"/>
      <c r="F94" s="29"/>
      <c r="G94" s="18"/>
      <c r="H94" s="29"/>
      <c r="I94" s="28"/>
      <c r="J94" s="28"/>
      <c r="K94" s="28"/>
      <c r="L94" s="28"/>
      <c r="M94" s="28"/>
      <c r="N94" s="28"/>
      <c r="O94" s="30"/>
      <c r="P94" s="30"/>
      <c r="Q94" s="28"/>
      <c r="R94" s="28"/>
      <c r="S94" s="113"/>
      <c r="T94" s="134"/>
      <c r="U94" s="133"/>
    </row>
    <row r="95" spans="2:21">
      <c r="B95" s="27"/>
      <c r="C95" s="28"/>
      <c r="D95" s="18"/>
      <c r="E95" s="18"/>
      <c r="F95" s="29"/>
      <c r="G95" s="18"/>
      <c r="H95" s="29"/>
      <c r="I95" s="28"/>
      <c r="J95" s="28"/>
      <c r="K95" s="28"/>
      <c r="L95" s="28"/>
      <c r="M95" s="28"/>
      <c r="N95" s="28"/>
      <c r="O95" s="30"/>
      <c r="P95" s="30"/>
      <c r="Q95" s="28"/>
      <c r="R95" s="28"/>
      <c r="S95" s="113"/>
      <c r="T95" s="134"/>
      <c r="U95" s="133"/>
    </row>
    <row r="96" spans="2:21">
      <c r="B96" s="27"/>
      <c r="C96" s="28"/>
      <c r="D96" s="18"/>
      <c r="E96" s="18"/>
      <c r="F96" s="29"/>
      <c r="G96" s="18"/>
      <c r="H96" s="29"/>
      <c r="I96" s="28"/>
      <c r="J96" s="28"/>
      <c r="K96" s="28"/>
      <c r="L96" s="28"/>
      <c r="M96" s="28"/>
      <c r="N96" s="28"/>
      <c r="O96" s="30"/>
      <c r="P96" s="30"/>
      <c r="Q96" s="28"/>
      <c r="R96" s="28"/>
      <c r="S96" s="113"/>
      <c r="T96" s="134"/>
      <c r="U96" s="133"/>
    </row>
    <row r="97" spans="2:21">
      <c r="B97" s="27"/>
      <c r="C97" s="28"/>
      <c r="D97" s="18"/>
      <c r="E97" s="18"/>
      <c r="F97" s="29"/>
      <c r="G97" s="18"/>
      <c r="H97" s="29"/>
      <c r="I97" s="28"/>
      <c r="J97" s="28"/>
      <c r="K97" s="28"/>
      <c r="L97" s="28"/>
      <c r="M97" s="28"/>
      <c r="N97" s="28"/>
      <c r="O97" s="30"/>
      <c r="P97" s="30"/>
      <c r="Q97" s="28"/>
      <c r="R97" s="28"/>
      <c r="S97" s="113"/>
      <c r="T97" s="134"/>
      <c r="U97" s="133"/>
    </row>
    <row r="98" spans="2:21">
      <c r="B98" s="27"/>
      <c r="C98" s="28"/>
      <c r="D98" s="18"/>
      <c r="E98" s="18"/>
      <c r="F98" s="29"/>
      <c r="G98" s="18"/>
      <c r="H98" s="29"/>
      <c r="I98" s="28"/>
      <c r="J98" s="28"/>
      <c r="K98" s="28"/>
      <c r="L98" s="28"/>
      <c r="M98" s="28"/>
      <c r="N98" s="28"/>
      <c r="O98" s="30"/>
      <c r="P98" s="30"/>
      <c r="Q98" s="28"/>
      <c r="R98" s="28"/>
      <c r="S98" s="113"/>
      <c r="T98" s="134"/>
      <c r="U98" s="133"/>
    </row>
    <row r="99" spans="2:21">
      <c r="B99" s="27"/>
      <c r="C99" s="28"/>
      <c r="D99" s="18"/>
      <c r="E99" s="18"/>
      <c r="F99" s="29"/>
      <c r="G99" s="18"/>
      <c r="H99" s="29"/>
      <c r="I99" s="28"/>
      <c r="J99" s="28"/>
      <c r="K99" s="28"/>
      <c r="L99" s="28"/>
      <c r="M99" s="28"/>
      <c r="N99" s="28"/>
      <c r="O99" s="30"/>
      <c r="P99" s="30"/>
      <c r="Q99" s="28"/>
      <c r="R99" s="28"/>
      <c r="S99" s="113"/>
      <c r="T99" s="134"/>
      <c r="U99" s="133"/>
    </row>
    <row r="100" spans="2:21">
      <c r="B100" s="27"/>
      <c r="C100" s="28"/>
      <c r="D100" s="18"/>
      <c r="E100" s="18"/>
      <c r="F100" s="29"/>
      <c r="G100" s="18"/>
      <c r="H100" s="29"/>
      <c r="I100" s="28"/>
      <c r="J100" s="28"/>
      <c r="K100" s="28"/>
      <c r="L100" s="28"/>
      <c r="M100" s="28"/>
      <c r="N100" s="28"/>
      <c r="O100" s="30"/>
      <c r="P100" s="30"/>
      <c r="Q100" s="28"/>
      <c r="R100" s="28"/>
      <c r="S100" s="113"/>
      <c r="T100" s="134"/>
      <c r="U100" s="133"/>
    </row>
    <row r="101" spans="2:21">
      <c r="B101" s="27"/>
      <c r="C101" s="28"/>
      <c r="D101" s="18"/>
      <c r="E101" s="18"/>
      <c r="F101" s="29"/>
      <c r="G101" s="18"/>
      <c r="H101" s="29"/>
      <c r="I101" s="28"/>
      <c r="J101" s="28"/>
      <c r="K101" s="28"/>
      <c r="L101" s="28"/>
      <c r="M101" s="28"/>
      <c r="N101" s="28"/>
      <c r="O101" s="30"/>
      <c r="P101" s="30"/>
      <c r="Q101" s="28"/>
      <c r="R101" s="28"/>
      <c r="S101" s="113"/>
      <c r="T101" s="134"/>
      <c r="U101" s="133"/>
    </row>
    <row r="102" spans="2:21">
      <c r="B102" s="27"/>
      <c r="C102" s="28"/>
      <c r="D102" s="18"/>
      <c r="E102" s="18"/>
      <c r="F102" s="29"/>
      <c r="G102" s="18"/>
      <c r="H102" s="29"/>
      <c r="I102" s="28"/>
      <c r="J102" s="28"/>
      <c r="K102" s="28"/>
      <c r="L102" s="28"/>
      <c r="M102" s="28"/>
      <c r="N102" s="28"/>
      <c r="O102" s="30"/>
      <c r="P102" s="30"/>
      <c r="Q102" s="28"/>
      <c r="R102" s="28"/>
      <c r="S102" s="113"/>
      <c r="T102" s="134"/>
      <c r="U102" s="133"/>
    </row>
    <row r="103" spans="2:21">
      <c r="B103" s="27"/>
      <c r="C103" s="28"/>
      <c r="D103" s="18"/>
      <c r="E103" s="18"/>
      <c r="F103" s="29"/>
      <c r="G103" s="18"/>
      <c r="H103" s="29"/>
      <c r="I103" s="28"/>
      <c r="J103" s="28"/>
      <c r="K103" s="28"/>
      <c r="L103" s="28"/>
      <c r="M103" s="28"/>
      <c r="N103" s="28"/>
      <c r="O103" s="30"/>
      <c r="P103" s="30"/>
      <c r="Q103" s="28"/>
      <c r="R103" s="28"/>
      <c r="S103" s="113"/>
      <c r="T103" s="134"/>
      <c r="U103" s="133"/>
    </row>
    <row r="104" spans="2:21">
      <c r="B104" s="27"/>
      <c r="C104" s="28"/>
      <c r="D104" s="18"/>
      <c r="E104" s="18"/>
      <c r="F104" s="29"/>
      <c r="G104" s="18"/>
      <c r="H104" s="29"/>
      <c r="I104" s="28"/>
      <c r="J104" s="28"/>
      <c r="K104" s="28"/>
      <c r="L104" s="28"/>
      <c r="M104" s="28"/>
      <c r="N104" s="28"/>
      <c r="O104" s="30"/>
      <c r="P104" s="30"/>
      <c r="Q104" s="28"/>
      <c r="R104" s="28"/>
      <c r="S104" s="113"/>
      <c r="T104" s="134"/>
      <c r="U104" s="133"/>
    </row>
    <row r="105" spans="2:21">
      <c r="B105" s="27"/>
      <c r="C105" s="28"/>
      <c r="D105" s="18"/>
      <c r="E105" s="18"/>
      <c r="F105" s="29"/>
      <c r="G105" s="18"/>
      <c r="H105" s="29"/>
      <c r="I105" s="28"/>
      <c r="J105" s="28"/>
      <c r="K105" s="28"/>
      <c r="L105" s="28"/>
      <c r="M105" s="28"/>
      <c r="N105" s="28"/>
      <c r="O105" s="30"/>
      <c r="P105" s="30"/>
      <c r="Q105" s="28"/>
      <c r="R105" s="28"/>
      <c r="S105" s="113"/>
      <c r="T105" s="134"/>
      <c r="U105" s="133"/>
    </row>
    <row r="106" spans="2:21">
      <c r="B106" s="27"/>
      <c r="C106" s="28"/>
      <c r="D106" s="18"/>
      <c r="E106" s="18"/>
      <c r="F106" s="29"/>
      <c r="G106" s="18"/>
      <c r="H106" s="29"/>
      <c r="I106" s="28"/>
      <c r="J106" s="28"/>
      <c r="K106" s="28"/>
      <c r="L106" s="28"/>
      <c r="M106" s="28"/>
      <c r="N106" s="28"/>
      <c r="O106" s="30"/>
      <c r="P106" s="30"/>
      <c r="Q106" s="28"/>
      <c r="R106" s="28"/>
      <c r="S106" s="113"/>
      <c r="T106" s="134"/>
      <c r="U106" s="133"/>
    </row>
    <row r="107" spans="2:21">
      <c r="B107" s="27"/>
      <c r="C107" s="28"/>
      <c r="D107" s="18"/>
      <c r="E107" s="18"/>
      <c r="F107" s="29"/>
      <c r="G107" s="18"/>
      <c r="H107" s="29"/>
      <c r="I107" s="28"/>
      <c r="J107" s="28"/>
      <c r="K107" s="28"/>
      <c r="L107" s="28"/>
      <c r="M107" s="28"/>
      <c r="N107" s="28"/>
      <c r="O107" s="30"/>
      <c r="P107" s="30"/>
      <c r="Q107" s="28"/>
      <c r="R107" s="28"/>
      <c r="S107" s="113"/>
      <c r="T107" s="134"/>
      <c r="U107" s="133"/>
    </row>
    <row r="108" spans="2:21">
      <c r="B108" s="27"/>
      <c r="C108" s="28"/>
      <c r="D108" s="18"/>
      <c r="E108" s="18"/>
      <c r="F108" s="29"/>
      <c r="G108" s="18"/>
      <c r="H108" s="29"/>
      <c r="I108" s="28"/>
      <c r="J108" s="28"/>
      <c r="K108" s="28"/>
      <c r="L108" s="28"/>
      <c r="M108" s="28"/>
      <c r="N108" s="28"/>
      <c r="O108" s="30"/>
      <c r="P108" s="30"/>
      <c r="Q108" s="28"/>
      <c r="R108" s="28"/>
      <c r="S108" s="113"/>
      <c r="T108" s="134"/>
      <c r="U108" s="133"/>
    </row>
    <row r="109" spans="2:21">
      <c r="B109" s="27"/>
      <c r="C109" s="28"/>
      <c r="D109" s="18"/>
      <c r="E109" s="18"/>
      <c r="F109" s="29"/>
      <c r="G109" s="18"/>
      <c r="H109" s="29"/>
      <c r="I109" s="28"/>
      <c r="J109" s="28"/>
      <c r="K109" s="28"/>
      <c r="L109" s="28"/>
      <c r="M109" s="28"/>
      <c r="N109" s="28"/>
      <c r="O109" s="30"/>
      <c r="P109" s="30"/>
      <c r="Q109" s="28"/>
      <c r="R109" s="28"/>
      <c r="S109" s="113"/>
      <c r="T109" s="134"/>
      <c r="U109" s="133"/>
    </row>
    <row r="110" spans="2:21">
      <c r="B110" s="27"/>
      <c r="C110" s="28"/>
      <c r="D110" s="18"/>
      <c r="E110" s="18"/>
      <c r="F110" s="29"/>
      <c r="G110" s="18"/>
      <c r="H110" s="29"/>
      <c r="I110" s="28"/>
      <c r="J110" s="28"/>
      <c r="K110" s="28"/>
      <c r="L110" s="28"/>
      <c r="M110" s="28"/>
      <c r="N110" s="28"/>
      <c r="O110" s="30"/>
      <c r="P110" s="30"/>
      <c r="Q110" s="28"/>
      <c r="R110" s="28"/>
      <c r="S110" s="113"/>
      <c r="T110" s="134"/>
      <c r="U110" s="133"/>
    </row>
    <row r="111" spans="2:21">
      <c r="B111" s="27"/>
      <c r="C111" s="28"/>
      <c r="D111" s="18"/>
      <c r="E111" s="18"/>
      <c r="F111" s="29"/>
      <c r="G111" s="18"/>
      <c r="H111" s="29"/>
      <c r="I111" s="28"/>
      <c r="J111" s="28"/>
      <c r="K111" s="28"/>
      <c r="L111" s="28"/>
      <c r="M111" s="28"/>
      <c r="N111" s="28"/>
      <c r="O111" s="30"/>
      <c r="P111" s="30"/>
      <c r="Q111" s="28"/>
      <c r="R111" s="28"/>
      <c r="S111" s="113"/>
      <c r="T111" s="134"/>
      <c r="U111" s="133"/>
    </row>
    <row r="112" spans="2:21">
      <c r="B112" s="27"/>
      <c r="C112" s="28"/>
      <c r="D112" s="18"/>
      <c r="E112" s="18"/>
      <c r="F112" s="29"/>
      <c r="G112" s="18"/>
      <c r="H112" s="29"/>
      <c r="I112" s="28"/>
      <c r="J112" s="28"/>
      <c r="K112" s="28"/>
      <c r="L112" s="28"/>
      <c r="M112" s="28"/>
      <c r="N112" s="28"/>
      <c r="O112" s="30"/>
      <c r="P112" s="30"/>
      <c r="Q112" s="28"/>
      <c r="R112" s="28"/>
      <c r="S112" s="113"/>
      <c r="T112" s="134"/>
      <c r="U112" s="133"/>
    </row>
    <row r="113" spans="2:21">
      <c r="B113" s="27"/>
      <c r="C113" s="28"/>
      <c r="D113" s="18"/>
      <c r="E113" s="18"/>
      <c r="F113" s="29"/>
      <c r="G113" s="18"/>
      <c r="H113" s="29"/>
      <c r="I113" s="28"/>
      <c r="J113" s="28"/>
      <c r="K113" s="28"/>
      <c r="L113" s="28"/>
      <c r="M113" s="28"/>
      <c r="N113" s="28"/>
      <c r="O113" s="30"/>
      <c r="P113" s="30"/>
      <c r="Q113" s="28"/>
      <c r="R113" s="28"/>
      <c r="S113" s="113"/>
      <c r="T113" s="134"/>
      <c r="U113" s="133"/>
    </row>
    <row r="114" spans="2:21">
      <c r="B114" s="27"/>
      <c r="C114" s="28"/>
      <c r="D114" s="18"/>
      <c r="E114" s="18"/>
      <c r="F114" s="29"/>
      <c r="G114" s="18"/>
      <c r="H114" s="29"/>
      <c r="I114" s="28"/>
      <c r="J114" s="28"/>
      <c r="K114" s="28"/>
      <c r="L114" s="28"/>
      <c r="M114" s="28"/>
      <c r="N114" s="28"/>
      <c r="O114" s="30"/>
      <c r="P114" s="30"/>
      <c r="Q114" s="28"/>
      <c r="R114" s="28"/>
      <c r="S114" s="113"/>
      <c r="T114" s="134"/>
      <c r="U114" s="133"/>
    </row>
    <row r="115" spans="2:21">
      <c r="B115" s="27"/>
      <c r="C115" s="28"/>
      <c r="D115" s="18"/>
      <c r="E115" s="18"/>
      <c r="F115" s="29"/>
      <c r="G115" s="18"/>
      <c r="H115" s="29"/>
      <c r="I115" s="28"/>
      <c r="J115" s="28"/>
      <c r="K115" s="28"/>
      <c r="L115" s="28"/>
      <c r="M115" s="28"/>
      <c r="N115" s="28"/>
      <c r="O115" s="30"/>
      <c r="P115" s="30"/>
      <c r="Q115" s="28"/>
      <c r="R115" s="28"/>
      <c r="S115" s="113"/>
      <c r="T115" s="134"/>
      <c r="U115" s="133"/>
    </row>
    <row r="116" spans="2:21">
      <c r="B116" s="27"/>
      <c r="C116" s="28"/>
      <c r="D116" s="18"/>
      <c r="E116" s="18"/>
      <c r="F116" s="29"/>
      <c r="G116" s="18"/>
      <c r="H116" s="29"/>
      <c r="I116" s="28"/>
      <c r="J116" s="28"/>
      <c r="K116" s="28"/>
      <c r="L116" s="28"/>
      <c r="M116" s="28"/>
      <c r="N116" s="28"/>
      <c r="O116" s="30"/>
      <c r="P116" s="30"/>
      <c r="Q116" s="28"/>
      <c r="R116" s="28"/>
      <c r="S116" s="113"/>
      <c r="T116" s="134"/>
      <c r="U116" s="133"/>
    </row>
    <row r="117" spans="2:21">
      <c r="B117" s="27"/>
      <c r="C117" s="28"/>
      <c r="D117" s="18"/>
      <c r="E117" s="18"/>
      <c r="F117" s="29"/>
      <c r="G117" s="18"/>
      <c r="H117" s="29"/>
      <c r="I117" s="28"/>
      <c r="J117" s="28"/>
      <c r="K117" s="28"/>
      <c r="L117" s="28"/>
      <c r="M117" s="28"/>
      <c r="N117" s="28"/>
      <c r="O117" s="30"/>
      <c r="P117" s="30"/>
      <c r="Q117" s="28"/>
      <c r="R117" s="28"/>
      <c r="S117" s="113"/>
      <c r="T117" s="134"/>
      <c r="U117" s="133"/>
    </row>
    <row r="118" spans="2:21">
      <c r="B118" s="27"/>
      <c r="C118" s="28"/>
      <c r="D118" s="18"/>
      <c r="E118" s="18"/>
      <c r="F118" s="29"/>
      <c r="G118" s="18"/>
      <c r="H118" s="29"/>
      <c r="I118" s="28"/>
      <c r="J118" s="28"/>
      <c r="K118" s="28"/>
      <c r="L118" s="28"/>
      <c r="M118" s="28"/>
      <c r="N118" s="28"/>
      <c r="O118" s="30"/>
      <c r="P118" s="30"/>
      <c r="Q118" s="28"/>
      <c r="R118" s="28"/>
      <c r="S118" s="113"/>
      <c r="T118" s="134"/>
      <c r="U118" s="133"/>
    </row>
    <row r="119" spans="2:21">
      <c r="B119" s="27"/>
      <c r="C119" s="28"/>
      <c r="D119" s="18"/>
      <c r="E119" s="18"/>
      <c r="F119" s="29"/>
      <c r="G119" s="18"/>
      <c r="H119" s="29"/>
      <c r="I119" s="28"/>
      <c r="J119" s="28"/>
      <c r="K119" s="28"/>
      <c r="L119" s="28"/>
      <c r="M119" s="28"/>
      <c r="N119" s="28"/>
      <c r="O119" s="30"/>
      <c r="P119" s="30"/>
      <c r="Q119" s="28"/>
      <c r="R119" s="28"/>
      <c r="U119" s="133"/>
    </row>
    <row r="120" spans="2:21">
      <c r="B120" s="27"/>
      <c r="C120" s="28"/>
      <c r="D120" s="18"/>
      <c r="E120" s="18"/>
      <c r="F120" s="29"/>
      <c r="G120" s="18"/>
      <c r="H120" s="29"/>
      <c r="I120" s="28"/>
      <c r="J120" s="28"/>
      <c r="K120" s="28"/>
      <c r="L120" s="28"/>
      <c r="M120" s="28"/>
      <c r="N120" s="28"/>
      <c r="O120" s="30"/>
      <c r="P120" s="30"/>
    </row>
    <row r="121" spans="2:21">
      <c r="B121" s="27"/>
      <c r="C121" s="28"/>
      <c r="D121" s="18"/>
      <c r="E121" s="18"/>
      <c r="F121" s="29"/>
      <c r="G121" s="18"/>
      <c r="H121" s="29"/>
      <c r="I121" s="28"/>
      <c r="J121" s="28"/>
      <c r="K121" s="28"/>
      <c r="L121" s="28"/>
      <c r="M121" s="28"/>
      <c r="N121" s="28"/>
      <c r="O121" s="30"/>
      <c r="P121" s="30"/>
    </row>
    <row r="122" spans="2:21">
      <c r="B122" s="27"/>
      <c r="C122" s="28"/>
      <c r="D122" s="18"/>
      <c r="E122" s="18"/>
      <c r="F122" s="29"/>
      <c r="G122" s="18"/>
      <c r="H122" s="29"/>
      <c r="I122" s="28"/>
      <c r="J122" s="28"/>
      <c r="K122" s="28"/>
      <c r="L122" s="28"/>
      <c r="M122" s="28"/>
      <c r="N122" s="28"/>
      <c r="O122" s="30"/>
      <c r="P122" s="30"/>
    </row>
    <row r="123" spans="2:21">
      <c r="B123" s="27"/>
      <c r="C123" s="28"/>
      <c r="D123" s="18"/>
      <c r="E123" s="18"/>
      <c r="F123" s="29"/>
      <c r="G123" s="18"/>
      <c r="H123" s="29"/>
      <c r="I123" s="28"/>
      <c r="J123" s="28"/>
      <c r="K123" s="28"/>
      <c r="L123" s="28"/>
      <c r="M123" s="28"/>
      <c r="N123" s="28"/>
      <c r="O123" s="30"/>
    </row>
    <row r="124" spans="2:21">
      <c r="B124" s="27"/>
      <c r="C124" s="28"/>
      <c r="D124" s="18"/>
      <c r="E124" s="18"/>
      <c r="F124" s="29"/>
      <c r="G124" s="18"/>
      <c r="H124" s="29"/>
      <c r="I124" s="28"/>
      <c r="J124" s="28"/>
      <c r="K124" s="28"/>
      <c r="L124" s="28"/>
      <c r="M124" s="28"/>
      <c r="N124" s="28"/>
      <c r="O124" s="30"/>
    </row>
    <row r="125" spans="2:21">
      <c r="B125" s="27"/>
      <c r="C125" s="28"/>
      <c r="D125" s="18"/>
      <c r="E125" s="18"/>
      <c r="F125" s="29"/>
      <c r="G125" s="18"/>
      <c r="H125" s="29"/>
      <c r="I125" s="28"/>
      <c r="J125" s="28"/>
      <c r="K125" s="28"/>
      <c r="L125" s="28"/>
      <c r="M125" s="28"/>
      <c r="N125" s="28"/>
      <c r="O125" s="30"/>
    </row>
    <row r="126" spans="2:21">
      <c r="B126" s="27"/>
      <c r="C126" s="28"/>
      <c r="D126" s="18"/>
      <c r="E126" s="18"/>
      <c r="F126" s="29"/>
      <c r="G126" s="18"/>
    </row>
    <row r="127" spans="2:21">
      <c r="B127" s="27"/>
      <c r="C127" s="28"/>
      <c r="D127" s="18"/>
      <c r="E127" s="18"/>
      <c r="F127" s="29"/>
    </row>
  </sheetData>
  <sheetProtection sheet="1" selectLockedCells="1"/>
  <mergeCells count="4">
    <mergeCell ref="AB6:AC6"/>
    <mergeCell ref="AE6:AF6"/>
    <mergeCell ref="B13:D13"/>
    <mergeCell ref="J13:L13"/>
  </mergeCells>
  <phoneticPr fontId="15" type="noConversion"/>
  <printOptions horizontalCentered="1"/>
  <pageMargins left="0.35" right="0.20972222222222223" top="0.27013888888888887" bottom="0.22013888888888888" header="0.51180555555555551" footer="0.51180555555555551"/>
  <pageSetup firstPageNumber="0" orientation="landscape" horizontalDpi="300" verticalDpi="300"/>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C125"/>
  <sheetViews>
    <sheetView showGridLines="0" showRowColHeaders="0" showZeros="0" showOutlineSymbols="0" zoomScale="180" zoomScaleNormal="180" workbookViewId="0">
      <selection activeCell="D20" sqref="D20"/>
    </sheetView>
  </sheetViews>
  <sheetFormatPr baseColWidth="10" defaultColWidth="8" defaultRowHeight="11"/>
  <cols>
    <col min="1" max="1" width="8" style="18" customWidth="1"/>
    <col min="2" max="2" width="8.1640625" style="19" customWidth="1"/>
    <col min="3" max="3" width="6.6640625" style="20" customWidth="1"/>
    <col min="4" max="5" width="6.6640625" style="21" customWidth="1"/>
    <col min="6" max="6" width="6.6640625" style="22" customWidth="1"/>
    <col min="7" max="7" width="6.6640625" style="21" customWidth="1"/>
    <col min="8" max="8" width="6.6640625" style="22" customWidth="1"/>
    <col min="9" max="9" width="6.6640625" style="20" customWidth="1"/>
    <col min="10" max="10" width="9.6640625" style="20" customWidth="1"/>
    <col min="11" max="11" width="6.6640625" style="20" customWidth="1"/>
    <col min="12" max="12" width="5.6640625" style="20" customWidth="1"/>
    <col min="13" max="13" width="6.6640625" style="20" customWidth="1"/>
    <col min="14" max="14" width="8.6640625" style="20" customWidth="1"/>
    <col min="15" max="16" width="6.6640625" style="23" customWidth="1"/>
    <col min="17" max="17" width="5.5" style="20" customWidth="1"/>
    <col min="18" max="18" width="7.33203125" style="20" customWidth="1"/>
    <col min="19" max="19" width="6.33203125" style="24" customWidth="1"/>
    <col min="20" max="20" width="6.1640625" style="25" customWidth="1"/>
    <col min="21" max="21" width="6.5" style="26" customWidth="1"/>
    <col min="22" max="31" width="8" style="18" customWidth="1"/>
    <col min="32" max="16384" width="8" style="18"/>
  </cols>
  <sheetData>
    <row r="1" spans="1:29" s="31" customFormat="1" ht="12">
      <c r="A1" s="18"/>
      <c r="B1" s="27"/>
      <c r="C1" s="28"/>
      <c r="D1" s="18"/>
      <c r="E1" s="18"/>
      <c r="F1" s="29"/>
      <c r="G1" s="18"/>
      <c r="H1" s="29"/>
      <c r="I1" s="28"/>
      <c r="J1" s="28"/>
      <c r="K1" s="28"/>
      <c r="L1" s="28"/>
      <c r="M1" s="28"/>
      <c r="N1" s="28"/>
      <c r="O1" s="30"/>
      <c r="P1" s="30"/>
      <c r="Q1" s="28"/>
      <c r="R1" s="28"/>
      <c r="S1" s="32"/>
      <c r="T1" s="32"/>
      <c r="U1" s="33"/>
      <c r="V1" s="34"/>
    </row>
    <row r="2" spans="1:29" s="31" customFormat="1" ht="14">
      <c r="B2" s="36" t="s">
        <v>116</v>
      </c>
      <c r="C2" s="37"/>
      <c r="D2" s="38"/>
      <c r="E2" s="38"/>
      <c r="F2" s="39"/>
      <c r="G2" s="38"/>
      <c r="H2" s="38"/>
      <c r="I2" s="39"/>
      <c r="J2" s="38"/>
      <c r="K2" s="39"/>
      <c r="L2" s="37"/>
      <c r="M2" s="37"/>
      <c r="N2" s="37"/>
      <c r="O2" s="40"/>
      <c r="Q2" s="165" t="s">
        <v>115</v>
      </c>
      <c r="R2"/>
      <c r="S2" s="55"/>
      <c r="T2" s="32"/>
      <c r="U2" s="32"/>
      <c r="V2" s="33"/>
    </row>
    <row r="3" spans="1:29" s="31" customFormat="1" ht="14">
      <c r="B3" s="41"/>
      <c r="C3" s="42" t="s">
        <v>118</v>
      </c>
      <c r="D3" s="43" t="s">
        <v>80</v>
      </c>
      <c r="E3" s="44"/>
      <c r="F3" s="45" t="s">
        <v>119</v>
      </c>
      <c r="G3" s="46" t="s">
        <v>239</v>
      </c>
      <c r="H3" s="44"/>
      <c r="I3" s="45" t="s">
        <v>121</v>
      </c>
      <c r="J3" s="47"/>
      <c r="K3" s="48"/>
      <c r="L3" s="49" t="s">
        <v>122</v>
      </c>
      <c r="M3" s="50"/>
      <c r="N3" s="48" t="s">
        <v>123</v>
      </c>
      <c r="O3" s="51"/>
      <c r="Q3" s="165" t="s">
        <v>249</v>
      </c>
      <c r="R3"/>
      <c r="S3" s="54"/>
      <c r="T3" s="35"/>
      <c r="U3" s="35"/>
    </row>
    <row r="4" spans="1:29" s="31" customFormat="1" ht="14">
      <c r="F4" s="52"/>
      <c r="J4" s="158"/>
      <c r="K4" s="54"/>
      <c r="L4" s="55"/>
      <c r="M4" s="158"/>
      <c r="N4" s="54"/>
      <c r="O4" s="62"/>
      <c r="Q4" s="165" t="s">
        <v>125</v>
      </c>
      <c r="R4"/>
      <c r="S4" s="54"/>
      <c r="T4" s="35"/>
      <c r="U4" s="35"/>
    </row>
    <row r="5" spans="1:29" s="31" customFormat="1" ht="14">
      <c r="B5" s="169" t="s">
        <v>240</v>
      </c>
      <c r="C5" s="57"/>
      <c r="D5" s="57"/>
      <c r="E5" s="58"/>
      <c r="F5" s="250">
        <v>18</v>
      </c>
      <c r="N5" s="35"/>
      <c r="O5" s="32"/>
      <c r="Q5" s="165" t="s">
        <v>241</v>
      </c>
      <c r="R5"/>
      <c r="S5" s="81"/>
      <c r="Y5" s="36" t="s">
        <v>242</v>
      </c>
      <c r="Z5" s="37"/>
      <c r="AA5" s="38"/>
      <c r="AB5" s="38"/>
      <c r="AC5" s="40"/>
    </row>
    <row r="6" spans="1:29" s="31" customFormat="1" ht="14">
      <c r="B6" s="169" t="s">
        <v>129</v>
      </c>
      <c r="C6" s="57"/>
      <c r="D6" s="57"/>
      <c r="E6" s="58"/>
      <c r="F6" s="250">
        <v>2.4</v>
      </c>
      <c r="G6" s="32" t="s">
        <v>130</v>
      </c>
      <c r="J6" s="59" t="s">
        <v>131</v>
      </c>
      <c r="K6" s="60"/>
      <c r="L6" s="159"/>
      <c r="M6" s="62"/>
      <c r="N6" s="35"/>
      <c r="O6" s="32"/>
      <c r="Q6" s="165" t="s">
        <v>243</v>
      </c>
      <c r="R6"/>
      <c r="S6" s="81"/>
      <c r="Y6" s="270" t="s">
        <v>133</v>
      </c>
      <c r="Z6" s="270"/>
      <c r="AA6" s="63"/>
      <c r="AB6" s="271" t="s">
        <v>134</v>
      </c>
      <c r="AC6" s="271"/>
    </row>
    <row r="7" spans="1:29" s="31" customFormat="1" ht="14">
      <c r="B7" s="169" t="s">
        <v>135</v>
      </c>
      <c r="C7" s="57"/>
      <c r="D7" s="57"/>
      <c r="E7" s="58"/>
      <c r="F7" s="251">
        <f>Front_Passengers+Baggage_1+Baggage_2</f>
        <v>420</v>
      </c>
      <c r="G7" s="32"/>
      <c r="J7" s="252" t="s">
        <v>136</v>
      </c>
      <c r="K7" s="253"/>
      <c r="L7" s="254"/>
      <c r="M7" s="255">
        <v>1670</v>
      </c>
      <c r="N7" s="35"/>
      <c r="O7" s="32"/>
      <c r="Q7" s="165" t="s">
        <v>244</v>
      </c>
      <c r="R7"/>
      <c r="S7" s="81"/>
      <c r="Y7" s="64" t="s">
        <v>138</v>
      </c>
      <c r="Z7" s="65" t="s">
        <v>139</v>
      </c>
      <c r="AA7" s="66"/>
      <c r="AB7" s="67" t="s">
        <v>140</v>
      </c>
      <c r="AC7" s="68" t="s">
        <v>139</v>
      </c>
    </row>
    <row r="8" spans="1:29" s="31" customFormat="1" ht="14">
      <c r="B8" s="166" t="s">
        <v>245</v>
      </c>
      <c r="C8" s="57"/>
      <c r="D8" s="256"/>
      <c r="E8" s="257"/>
      <c r="F8" s="251">
        <f>(Departure_Fuel)/5.8</f>
        <v>2.931034482758621</v>
      </c>
      <c r="G8" s="32" t="s">
        <v>130</v>
      </c>
      <c r="J8" s="258" t="s">
        <v>142</v>
      </c>
      <c r="K8" s="69"/>
      <c r="L8" s="70"/>
      <c r="M8" s="259">
        <f>Total_Departure_Weight</f>
        <v>1669.24</v>
      </c>
      <c r="N8" s="71">
        <f>M8/M7</f>
        <v>0.99954491017964076</v>
      </c>
      <c r="O8" s="32" t="s">
        <v>143</v>
      </c>
      <c r="Q8" s="165" t="s">
        <v>246</v>
      </c>
      <c r="R8"/>
      <c r="S8" s="81"/>
      <c r="Y8" s="72">
        <v>31</v>
      </c>
      <c r="Z8" s="73">
        <v>1000</v>
      </c>
      <c r="AA8" s="74"/>
      <c r="AB8" s="84">
        <v>31</v>
      </c>
      <c r="AC8" s="76">
        <f>Z8</f>
        <v>1000</v>
      </c>
    </row>
    <row r="9" spans="1:29" s="31" customFormat="1" ht="13">
      <c r="B9" s="166" t="s">
        <v>145</v>
      </c>
      <c r="C9" s="57"/>
      <c r="D9" s="256"/>
      <c r="E9" s="257"/>
      <c r="F9" s="260">
        <f>F8-F6</f>
        <v>0.53103448275862108</v>
      </c>
      <c r="G9" s="32" t="s">
        <v>130</v>
      </c>
      <c r="J9" s="261" t="s">
        <v>146</v>
      </c>
      <c r="K9" s="77"/>
      <c r="L9" s="78"/>
      <c r="M9" s="79">
        <f>M7-M8</f>
        <v>0.75999999999999091</v>
      </c>
      <c r="N9" s="35"/>
      <c r="O9" s="32"/>
      <c r="Q9" s="165"/>
      <c r="S9" s="81"/>
      <c r="Y9" s="72">
        <v>42</v>
      </c>
      <c r="Z9" s="73">
        <v>1350</v>
      </c>
      <c r="AA9" s="74"/>
      <c r="AB9" s="84">
        <v>31</v>
      </c>
      <c r="AC9" s="76">
        <f>Z9</f>
        <v>1350</v>
      </c>
    </row>
    <row r="10" spans="1:29" s="31" customFormat="1" ht="13">
      <c r="B10" s="167" t="s">
        <v>247</v>
      </c>
      <c r="C10" s="18"/>
      <c r="D10" s="262"/>
      <c r="E10" s="263"/>
      <c r="F10" s="264"/>
      <c r="G10" s="32"/>
      <c r="J10" s="265"/>
      <c r="K10" s="28"/>
      <c r="L10" s="18"/>
      <c r="M10" s="154"/>
      <c r="N10" s="35"/>
      <c r="O10" s="32"/>
      <c r="Q10" s="165"/>
      <c r="S10" s="81"/>
      <c r="Y10" s="72">
        <v>54.5</v>
      </c>
      <c r="Z10" s="73">
        <v>1670</v>
      </c>
      <c r="AA10" s="74"/>
      <c r="AB10" s="84">
        <f>Y10*1000/Z10</f>
        <v>32.634730538922156</v>
      </c>
      <c r="AC10" s="76">
        <f>Z10</f>
        <v>1670</v>
      </c>
    </row>
    <row r="11" spans="1:29" s="31" customFormat="1" ht="12">
      <c r="B11" s="93"/>
      <c r="C11" s="32"/>
      <c r="D11" s="32"/>
      <c r="G11" s="54"/>
      <c r="I11" s="54"/>
      <c r="J11" s="32"/>
      <c r="K11" s="32"/>
      <c r="L11" s="32"/>
      <c r="M11" s="32"/>
      <c r="O11" s="82"/>
      <c r="Q11" s="81"/>
      <c r="S11" s="81"/>
      <c r="Y11" s="72">
        <v>61</v>
      </c>
      <c r="Z11" s="73">
        <v>1670</v>
      </c>
      <c r="AA11" s="74"/>
      <c r="AB11" s="84">
        <v>36.5</v>
      </c>
      <c r="AC11" s="76">
        <f>Z11</f>
        <v>1670</v>
      </c>
    </row>
    <row r="12" spans="1:29" s="31" customFormat="1" ht="12">
      <c r="B12" s="36" t="s">
        <v>148</v>
      </c>
      <c r="C12" s="37"/>
      <c r="D12" s="38"/>
      <c r="E12" s="38"/>
      <c r="F12" s="39"/>
      <c r="G12" s="40"/>
      <c r="J12" s="36" t="s">
        <v>149</v>
      </c>
      <c r="K12" s="37"/>
      <c r="L12" s="38"/>
      <c r="M12" s="38"/>
      <c r="N12" s="39"/>
      <c r="O12" s="40"/>
      <c r="Q12" s="83"/>
      <c r="R12" s="31" t="s">
        <v>150</v>
      </c>
      <c r="S12" s="81"/>
      <c r="Y12" s="72">
        <v>37</v>
      </c>
      <c r="Z12" s="73">
        <v>1000</v>
      </c>
      <c r="AA12" s="74"/>
      <c r="AB12" s="84">
        <v>36.5</v>
      </c>
      <c r="AC12" s="76">
        <f>Z12</f>
        <v>1000</v>
      </c>
    </row>
    <row r="13" spans="1:29" s="31" customFormat="1" ht="12.75" customHeight="1">
      <c r="B13" s="272" t="s">
        <v>151</v>
      </c>
      <c r="C13" s="272"/>
      <c r="D13" s="272"/>
      <c r="E13" s="86" t="s">
        <v>139</v>
      </c>
      <c r="F13" s="88" t="s">
        <v>152</v>
      </c>
      <c r="G13" s="89" t="s">
        <v>138</v>
      </c>
      <c r="J13" s="272" t="s">
        <v>151</v>
      </c>
      <c r="K13" s="272"/>
      <c r="L13" s="272"/>
      <c r="M13" s="86" t="s">
        <v>139</v>
      </c>
      <c r="N13" s="88" t="s">
        <v>152</v>
      </c>
      <c r="O13" s="89" t="s">
        <v>138</v>
      </c>
      <c r="P13" s="81"/>
      <c r="S13" s="81"/>
      <c r="Y13" s="90"/>
      <c r="Z13" s="90"/>
      <c r="AA13" s="90"/>
    </row>
    <row r="14" spans="1:29" s="31" customFormat="1" ht="12">
      <c r="B14" s="91"/>
      <c r="C14" s="32"/>
      <c r="E14" s="92" t="s">
        <v>153</v>
      </c>
      <c r="F14" s="94" t="s">
        <v>154</v>
      </c>
      <c r="G14" s="95" t="s">
        <v>155</v>
      </c>
      <c r="J14" s="91"/>
      <c r="K14" s="32"/>
      <c r="M14" s="92" t="s">
        <v>153</v>
      </c>
      <c r="N14" s="94" t="s">
        <v>154</v>
      </c>
      <c r="O14" s="95" t="s">
        <v>155</v>
      </c>
      <c r="P14" s="81"/>
      <c r="S14" s="35"/>
    </row>
    <row r="15" spans="1:29" s="31" customFormat="1" ht="12">
      <c r="B15" s="96"/>
      <c r="C15" s="97"/>
      <c r="D15" s="98" t="s">
        <v>156</v>
      </c>
      <c r="E15" s="155">
        <v>1147.24</v>
      </c>
      <c r="F15" s="101">
        <f>IF(Empty_Weight,Empty_Moment*1000/Empty_Weight,"")</f>
        <v>29.831177434538549</v>
      </c>
      <c r="G15" s="102">
        <v>34.223520000000001</v>
      </c>
      <c r="J15" s="96"/>
      <c r="K15" s="97"/>
      <c r="L15" s="98" t="s">
        <v>156</v>
      </c>
      <c r="M15" s="99">
        <f>Empty_Weight</f>
        <v>1147.24</v>
      </c>
      <c r="N15" s="101">
        <f>Empty_Arm</f>
        <v>29.831177434538549</v>
      </c>
      <c r="O15" s="102">
        <f>Empty_Moment</f>
        <v>34.223520000000001</v>
      </c>
      <c r="P15" s="81"/>
      <c r="S15" s="35"/>
      <c r="V15" s="35"/>
      <c r="Y15" s="160"/>
      <c r="Z15" s="161"/>
      <c r="AB15" s="160"/>
      <c r="AC15" s="162"/>
    </row>
    <row r="16" spans="1:29" s="31" customFormat="1" ht="12">
      <c r="B16" s="103"/>
      <c r="C16" s="104"/>
      <c r="D16" s="105" t="s">
        <v>157</v>
      </c>
      <c r="E16" s="163">
        <v>405</v>
      </c>
      <c r="F16" s="108">
        <v>41</v>
      </c>
      <c r="G16" s="109">
        <f>Front_Passengers*Front_Passenger_Arm/1000</f>
        <v>16.605</v>
      </c>
      <c r="J16" s="103"/>
      <c r="K16" s="104"/>
      <c r="L16" s="105" t="s">
        <v>157</v>
      </c>
      <c r="M16" s="110">
        <f>Front_Passengers</f>
        <v>405</v>
      </c>
      <c r="N16" s="108">
        <f>Front_Passenger_Arm</f>
        <v>41</v>
      </c>
      <c r="O16" s="109">
        <f>Front_Passenger_Moment</f>
        <v>16.605</v>
      </c>
      <c r="P16" s="81"/>
      <c r="R16" s="54"/>
      <c r="S16" s="35"/>
      <c r="V16" s="18"/>
      <c r="W16" s="18"/>
      <c r="Y16" s="160"/>
      <c r="Z16" s="161"/>
      <c r="AB16" s="160"/>
      <c r="AC16" s="162"/>
    </row>
    <row r="17" spans="2:29" ht="12">
      <c r="B17" s="114"/>
      <c r="C17" s="104"/>
      <c r="D17" s="112" t="s">
        <v>159</v>
      </c>
      <c r="E17" s="163"/>
      <c r="F17" s="108">
        <v>64</v>
      </c>
      <c r="G17" s="109">
        <f>Baggage_1*Baggage_1_Arm/1000</f>
        <v>0</v>
      </c>
      <c r="H17" s="31"/>
      <c r="I17" s="31"/>
      <c r="J17" s="114"/>
      <c r="K17" s="104"/>
      <c r="L17" s="112" t="s">
        <v>160</v>
      </c>
      <c r="M17" s="110">
        <f>Baggage_1</f>
        <v>0</v>
      </c>
      <c r="N17" s="108">
        <f>Baggage_1_Arm</f>
        <v>64</v>
      </c>
      <c r="O17" s="109">
        <f>Baggage_1_Moment</f>
        <v>0</v>
      </c>
      <c r="P17" s="81"/>
      <c r="Q17" s="31"/>
      <c r="R17" s="54"/>
      <c r="S17" s="113"/>
      <c r="T17" s="18"/>
      <c r="U17" s="18"/>
      <c r="Y17" s="160"/>
      <c r="Z17" s="161"/>
      <c r="AB17" s="160"/>
      <c r="AC17" s="162"/>
    </row>
    <row r="18" spans="2:29" ht="12">
      <c r="B18" s="114"/>
      <c r="C18" s="104"/>
      <c r="D18" s="112" t="s">
        <v>214</v>
      </c>
      <c r="E18" s="163">
        <v>15</v>
      </c>
      <c r="F18" s="108">
        <v>84</v>
      </c>
      <c r="G18" s="109">
        <f>Baggage_2*Baggage_2_Arm/1000</f>
        <v>1.26</v>
      </c>
      <c r="H18" s="31"/>
      <c r="I18" s="18"/>
      <c r="J18" s="114"/>
      <c r="K18" s="104"/>
      <c r="L18" s="112" t="s">
        <v>162</v>
      </c>
      <c r="M18" s="110">
        <f>Baggage_2</f>
        <v>15</v>
      </c>
      <c r="N18" s="108">
        <f>Baggage_2_Arm</f>
        <v>84</v>
      </c>
      <c r="O18" s="109">
        <f>Baggage_2_Moment</f>
        <v>1.26</v>
      </c>
      <c r="P18" s="31"/>
      <c r="Q18" s="28"/>
      <c r="R18" s="28"/>
      <c r="S18" s="113"/>
      <c r="T18" s="18"/>
      <c r="U18" s="18"/>
      <c r="Y18" s="160"/>
      <c r="Z18" s="161"/>
      <c r="AB18" s="160"/>
      <c r="AC18" s="162"/>
    </row>
    <row r="19" spans="2:29" ht="14">
      <c r="B19" s="273" t="s">
        <v>163</v>
      </c>
      <c r="C19" s="273"/>
      <c r="D19" s="108">
        <f>F5-Grnd_Ops_Fuel</f>
        <v>17</v>
      </c>
      <c r="E19" s="110">
        <f>Departure_Fuel*6</f>
        <v>102</v>
      </c>
      <c r="F19" s="156">
        <v>42.176870748299301</v>
      </c>
      <c r="G19" s="109">
        <f>Departure_Fuel_Weight*Fuel_Arm/1000</f>
        <v>4.302040816326528</v>
      </c>
      <c r="H19" s="31"/>
      <c r="I19" s="18"/>
      <c r="J19" s="111"/>
      <c r="K19" s="117" t="s">
        <v>215</v>
      </c>
      <c r="L19" s="108">
        <f>Departure_Fuel-F6*5.8</f>
        <v>3.08</v>
      </c>
      <c r="M19" s="110">
        <f>Arrival_Fuel*6</f>
        <v>18.48</v>
      </c>
      <c r="N19" s="108">
        <f>Fuel_Arm</f>
        <v>42.176870748299301</v>
      </c>
      <c r="O19" s="109">
        <f>Arrival_Fuel_Weight*Fuel_Arm/1000</f>
        <v>0.77942857142857114</v>
      </c>
      <c r="P19" s="31"/>
      <c r="Q19" s="28"/>
      <c r="R19" s="28"/>
      <c r="S19" s="18"/>
      <c r="T19" s="18"/>
      <c r="U19" s="18"/>
      <c r="Y19" s="160"/>
      <c r="Z19" s="161"/>
      <c r="AB19" s="160"/>
      <c r="AC19" s="162"/>
    </row>
    <row r="20" spans="2:29" ht="12">
      <c r="B20" s="111"/>
      <c r="C20" s="117" t="s">
        <v>165</v>
      </c>
      <c r="D20" s="120">
        <v>1</v>
      </c>
      <c r="E20" s="110"/>
      <c r="F20" s="108"/>
      <c r="G20" s="109">
        <f>Grnd_Ops_Fuel_Weight*Fuel_Arm/1000</f>
        <v>0</v>
      </c>
      <c r="H20" s="54"/>
      <c r="I20" s="18"/>
      <c r="J20" s="121"/>
      <c r="K20" s="122"/>
      <c r="L20" s="123" t="s">
        <v>166</v>
      </c>
      <c r="M20" s="124">
        <f>SUM(M15:M19)</f>
        <v>1585.72</v>
      </c>
      <c r="N20" s="125">
        <f>IF(Total_Arrival_Weight,Total_Arrival_Moment*1000/Total_Arrival_Weight,"")</f>
        <v>33.340027603504126</v>
      </c>
      <c r="O20" s="126">
        <f>SUM(O15:O19)</f>
        <v>52.867948571428563</v>
      </c>
      <c r="P20" s="31"/>
      <c r="Q20" s="18"/>
      <c r="R20" s="18"/>
      <c r="S20" s="18"/>
      <c r="T20" s="18"/>
      <c r="U20" s="18"/>
    </row>
    <row r="21" spans="2:29" ht="12">
      <c r="B21" s="121"/>
      <c r="C21" s="122"/>
      <c r="D21" s="123" t="s">
        <v>166</v>
      </c>
      <c r="E21" s="124">
        <f>SUM(E15:E20)</f>
        <v>1669.24</v>
      </c>
      <c r="F21" s="125">
        <f>IF(Total_Departure_Weight,Total_Departure_Moment*1000/Total_Departure_Weight,"")</f>
        <v>33.782176808803122</v>
      </c>
      <c r="G21" s="126">
        <f>SUM(G15:G20)</f>
        <v>56.390560816326527</v>
      </c>
      <c r="H21" s="54"/>
      <c r="I21" s="18"/>
      <c r="J21" s="128"/>
      <c r="K21" s="129"/>
      <c r="L21" s="130"/>
      <c r="M21" s="130"/>
      <c r="N21" s="131" t="s">
        <v>167</v>
      </c>
      <c r="O21" s="132">
        <f>Total_Arrival_Arm</f>
        <v>33.340027603504126</v>
      </c>
      <c r="P21" s="30"/>
      <c r="Q21" s="18"/>
      <c r="R21" s="18"/>
      <c r="S21" s="18"/>
      <c r="T21" s="18"/>
      <c r="U21" s="18"/>
    </row>
    <row r="22" spans="2:29" ht="12">
      <c r="B22" s="128"/>
      <c r="C22" s="129"/>
      <c r="D22" s="130"/>
      <c r="E22" s="130"/>
      <c r="F22" s="131" t="s">
        <v>167</v>
      </c>
      <c r="G22" s="132">
        <f>Total_Departure_Arm</f>
        <v>33.782176808803122</v>
      </c>
      <c r="H22" s="29"/>
      <c r="I22" s="28"/>
      <c r="J22" s="18"/>
      <c r="K22" s="18"/>
      <c r="L22" s="18"/>
      <c r="M22" s="18"/>
      <c r="N22" s="18"/>
      <c r="O22" s="30"/>
      <c r="P22" s="30"/>
      <c r="Q22" s="18"/>
      <c r="R22" s="18"/>
      <c r="S22" s="18"/>
      <c r="T22" s="18"/>
      <c r="U22" s="18"/>
    </row>
    <row r="23" spans="2:29">
      <c r="B23" s="18"/>
      <c r="C23" s="18"/>
      <c r="D23" s="18"/>
      <c r="E23" s="18"/>
      <c r="F23" s="18"/>
      <c r="G23" s="18"/>
      <c r="H23" s="29"/>
      <c r="I23" s="28"/>
      <c r="J23" s="18"/>
      <c r="K23" s="18"/>
      <c r="L23" s="18"/>
      <c r="M23" s="18"/>
      <c r="N23" s="18"/>
      <c r="O23" s="30"/>
      <c r="P23" s="18"/>
      <c r="Q23" s="18"/>
      <c r="R23" s="18"/>
      <c r="S23" s="18"/>
      <c r="T23" s="18"/>
      <c r="U23" s="18"/>
    </row>
    <row r="24" spans="2:29">
      <c r="B24" s="18"/>
      <c r="C24" s="18"/>
      <c r="D24" s="18"/>
      <c r="E24" s="18"/>
      <c r="F24" s="18"/>
      <c r="G24" s="18"/>
      <c r="H24" s="29"/>
      <c r="I24" s="28"/>
      <c r="J24" s="18"/>
      <c r="K24" s="18"/>
      <c r="L24" s="18"/>
      <c r="M24" s="18"/>
      <c r="N24" s="18"/>
      <c r="O24" s="18"/>
      <c r="P24" s="18"/>
      <c r="Q24" s="18"/>
      <c r="R24" s="18"/>
      <c r="S24" s="18"/>
      <c r="T24" s="18"/>
      <c r="U24" s="18"/>
    </row>
    <row r="25" spans="2:29">
      <c r="B25" s="18"/>
      <c r="C25" s="18"/>
      <c r="D25" s="18"/>
      <c r="E25" s="18"/>
      <c r="F25" s="18"/>
      <c r="G25" s="18"/>
      <c r="H25" s="29"/>
      <c r="I25" s="18"/>
      <c r="J25" s="18"/>
      <c r="K25" s="18"/>
      <c r="L25" s="18"/>
      <c r="M25" s="18"/>
      <c r="N25" s="18"/>
      <c r="O25" s="18"/>
      <c r="P25" s="18"/>
      <c r="Q25" s="18"/>
      <c r="R25" s="18"/>
      <c r="S25" s="18"/>
      <c r="T25" s="18"/>
      <c r="U25" s="133"/>
    </row>
    <row r="26" spans="2:29">
      <c r="B26" s="18"/>
      <c r="C26" s="18"/>
      <c r="D26" s="18"/>
      <c r="E26" s="18"/>
      <c r="F26" s="18"/>
      <c r="G26" s="18"/>
      <c r="H26" s="29"/>
      <c r="I26" s="28"/>
      <c r="J26" s="18"/>
      <c r="K26" s="18"/>
      <c r="L26" s="18"/>
      <c r="M26" s="18"/>
      <c r="N26" s="18"/>
      <c r="O26" s="18"/>
      <c r="P26" s="18"/>
      <c r="Q26" s="18"/>
      <c r="R26" s="18"/>
      <c r="S26" s="18"/>
      <c r="T26" s="18"/>
      <c r="U26" s="133"/>
    </row>
    <row r="27" spans="2:29">
      <c r="B27" s="18"/>
      <c r="C27" s="18"/>
      <c r="D27" s="18"/>
      <c r="E27" s="18"/>
      <c r="F27" s="18"/>
      <c r="G27" s="18"/>
      <c r="H27" s="29"/>
      <c r="I27" s="28"/>
      <c r="J27" s="18"/>
      <c r="K27" s="18"/>
      <c r="L27" s="18"/>
      <c r="M27" s="18"/>
      <c r="N27" s="18"/>
      <c r="O27" s="18"/>
      <c r="P27" s="18"/>
      <c r="Q27" s="18"/>
      <c r="R27" s="18"/>
      <c r="S27" s="18"/>
      <c r="T27" s="18"/>
      <c r="U27" s="133"/>
    </row>
    <row r="28" spans="2:29">
      <c r="B28" s="18"/>
      <c r="C28" s="18"/>
      <c r="D28" s="18"/>
      <c r="E28" s="18"/>
      <c r="F28" s="18"/>
      <c r="G28" s="18"/>
      <c r="H28" s="18"/>
      <c r="I28" s="18"/>
      <c r="J28" s="18"/>
      <c r="K28" s="18"/>
      <c r="L28" s="18"/>
      <c r="M28" s="18"/>
      <c r="N28" s="18"/>
      <c r="O28" s="18"/>
      <c r="P28" s="18"/>
      <c r="Q28" s="18"/>
      <c r="R28" s="18"/>
      <c r="S28" s="18"/>
      <c r="T28" s="18"/>
      <c r="U28" s="133"/>
    </row>
    <row r="29" spans="2:29">
      <c r="B29" s="18"/>
      <c r="C29" s="18"/>
      <c r="D29" s="18"/>
      <c r="E29" s="18"/>
      <c r="F29" s="18"/>
      <c r="G29" s="18"/>
      <c r="H29" s="18"/>
      <c r="I29" s="18"/>
      <c r="J29" s="18"/>
      <c r="K29" s="18"/>
      <c r="L29" s="18"/>
      <c r="M29" s="18"/>
      <c r="N29" s="18"/>
      <c r="O29" s="18"/>
      <c r="P29" s="18"/>
      <c r="Q29" s="18"/>
      <c r="R29" s="18"/>
      <c r="S29" s="18"/>
      <c r="T29" s="18"/>
      <c r="U29" s="133"/>
    </row>
    <row r="30" spans="2:29">
      <c r="B30" s="18"/>
      <c r="C30" s="18"/>
      <c r="D30" s="18"/>
      <c r="E30" s="18"/>
      <c r="F30" s="18"/>
      <c r="G30" s="18"/>
      <c r="H30" s="18"/>
      <c r="I30" s="18"/>
      <c r="J30" s="18"/>
      <c r="K30" s="18"/>
      <c r="L30" s="18"/>
      <c r="M30" s="18"/>
      <c r="N30" s="18"/>
      <c r="O30" s="18"/>
      <c r="P30" s="18"/>
      <c r="Q30" s="18"/>
      <c r="R30" s="18"/>
      <c r="S30" s="18"/>
      <c r="T30" s="18"/>
      <c r="U30" s="133"/>
    </row>
    <row r="31" spans="2:29">
      <c r="B31" s="18"/>
      <c r="C31" s="18"/>
      <c r="D31" s="18"/>
      <c r="E31" s="18"/>
      <c r="F31" s="18"/>
      <c r="G31" s="18"/>
      <c r="H31" s="18"/>
      <c r="I31" s="18"/>
      <c r="J31" s="28"/>
      <c r="K31" s="28"/>
      <c r="L31" s="28"/>
      <c r="M31" s="28"/>
      <c r="N31" s="28"/>
      <c r="O31" s="18"/>
      <c r="P31" s="18"/>
      <c r="Q31" s="18"/>
      <c r="R31" s="18"/>
      <c r="S31" s="18"/>
      <c r="T31" s="18"/>
      <c r="U31" s="133"/>
    </row>
    <row r="32" spans="2:29">
      <c r="B32" s="18"/>
      <c r="C32" s="18"/>
      <c r="D32" s="18"/>
      <c r="E32" s="18"/>
      <c r="F32" s="18"/>
      <c r="G32" s="18"/>
      <c r="H32" s="18"/>
      <c r="I32" s="18"/>
      <c r="J32" s="28"/>
      <c r="K32" s="28"/>
      <c r="L32" s="28"/>
      <c r="M32" s="28"/>
      <c r="N32" s="28"/>
      <c r="O32" s="18"/>
      <c r="P32" s="18"/>
      <c r="Q32" s="18"/>
      <c r="R32" s="18"/>
      <c r="S32" s="18"/>
      <c r="T32" s="18"/>
      <c r="U32" s="133"/>
    </row>
    <row r="33" spans="2:21">
      <c r="B33" s="18"/>
      <c r="C33" s="18"/>
      <c r="D33" s="18"/>
      <c r="E33" s="18"/>
      <c r="F33" s="18"/>
      <c r="G33" s="18"/>
      <c r="H33" s="18"/>
      <c r="I33" s="18"/>
      <c r="J33" s="28"/>
      <c r="K33" s="28"/>
      <c r="L33" s="28"/>
      <c r="M33" s="28"/>
      <c r="N33" s="28"/>
      <c r="O33" s="18"/>
      <c r="P33" s="18"/>
      <c r="Q33" s="18"/>
      <c r="R33" s="18"/>
      <c r="S33" s="18"/>
      <c r="T33" s="18"/>
      <c r="U33" s="133"/>
    </row>
    <row r="34" spans="2:21">
      <c r="B34" s="18"/>
      <c r="C34" s="18"/>
      <c r="D34" s="18"/>
      <c r="E34" s="18"/>
      <c r="F34" s="18"/>
      <c r="G34" s="18"/>
      <c r="H34" s="29"/>
      <c r="I34" s="28"/>
      <c r="J34" s="28"/>
      <c r="K34" s="28"/>
      <c r="L34" s="28"/>
      <c r="M34" s="28"/>
      <c r="N34" s="28"/>
      <c r="O34" s="18"/>
      <c r="P34" s="18"/>
      <c r="Q34" s="18"/>
      <c r="R34" s="18"/>
      <c r="S34" s="18"/>
      <c r="T34" s="18"/>
      <c r="U34" s="18"/>
    </row>
    <row r="35" spans="2:21">
      <c r="B35" s="27"/>
      <c r="C35" s="28"/>
      <c r="D35" s="18"/>
      <c r="E35" s="18"/>
      <c r="F35" s="29"/>
      <c r="G35" s="18"/>
      <c r="H35" s="29"/>
      <c r="I35" s="28"/>
      <c r="J35" s="28"/>
      <c r="K35" s="28"/>
      <c r="L35" s="28"/>
      <c r="M35" s="28"/>
      <c r="N35" s="28"/>
      <c r="O35" s="18"/>
      <c r="P35" s="18"/>
      <c r="Q35" s="133"/>
      <c r="R35" s="18"/>
      <c r="S35" s="18"/>
      <c r="T35" s="18"/>
      <c r="U35" s="18"/>
    </row>
    <row r="36" spans="2:21">
      <c r="B36" s="27"/>
      <c r="C36" s="28"/>
      <c r="D36" s="18"/>
      <c r="E36" s="18"/>
      <c r="F36" s="29"/>
      <c r="G36" s="18"/>
      <c r="H36" s="29"/>
      <c r="I36" s="28"/>
      <c r="J36" s="28"/>
      <c r="K36" s="28"/>
      <c r="L36" s="28"/>
      <c r="M36" s="28"/>
      <c r="N36" s="28"/>
      <c r="O36" s="18"/>
      <c r="P36" s="18"/>
      <c r="Q36" s="133"/>
      <c r="R36" s="18"/>
      <c r="S36" s="18"/>
      <c r="T36" s="18"/>
      <c r="U36" s="18"/>
    </row>
    <row r="37" spans="2:21">
      <c r="B37" s="27"/>
      <c r="C37" s="28"/>
      <c r="D37" s="18"/>
      <c r="E37" s="18"/>
      <c r="F37" s="29"/>
      <c r="G37" s="18"/>
      <c r="H37" s="29"/>
      <c r="I37" s="28"/>
      <c r="J37" s="28"/>
      <c r="K37" s="28"/>
      <c r="L37" s="28"/>
      <c r="M37" s="28"/>
      <c r="N37" s="28"/>
      <c r="O37" s="18"/>
      <c r="P37" s="18"/>
      <c r="Q37" s="18"/>
      <c r="R37" s="18"/>
      <c r="S37" s="18"/>
      <c r="T37" s="18"/>
      <c r="U37" s="18"/>
    </row>
    <row r="38" spans="2:21">
      <c r="B38" s="27"/>
      <c r="C38" s="28"/>
      <c r="D38" s="18"/>
      <c r="E38" s="18"/>
      <c r="F38" s="29"/>
      <c r="G38" s="18"/>
      <c r="H38" s="28"/>
      <c r="I38" s="28"/>
      <c r="J38" s="28"/>
      <c r="K38" s="30"/>
      <c r="L38" s="30"/>
      <c r="M38" s="28"/>
      <c r="N38" s="28"/>
      <c r="O38" s="18"/>
      <c r="P38" s="134"/>
      <c r="Q38" s="133"/>
      <c r="R38" s="18"/>
      <c r="S38" s="18"/>
      <c r="T38" s="18"/>
      <c r="U38" s="18"/>
    </row>
    <row r="39" spans="2:21">
      <c r="B39" s="18"/>
      <c r="C39" s="18"/>
      <c r="D39" s="29"/>
      <c r="E39" s="18"/>
      <c r="F39" s="18"/>
      <c r="G39" s="28"/>
      <c r="H39" s="28"/>
      <c r="I39" s="28"/>
      <c r="J39" s="28"/>
      <c r="K39" s="30"/>
      <c r="L39" s="30"/>
      <c r="M39" s="28"/>
      <c r="N39" s="28"/>
      <c r="O39" s="113"/>
      <c r="P39" s="134"/>
      <c r="Q39" s="133"/>
      <c r="R39" s="18"/>
      <c r="S39" s="18"/>
      <c r="T39" s="18"/>
      <c r="U39" s="18"/>
    </row>
    <row r="40" spans="2:21">
      <c r="B40" s="18"/>
      <c r="C40" s="18"/>
      <c r="D40" s="29"/>
      <c r="E40" s="18"/>
      <c r="F40" s="18"/>
      <c r="G40" s="28"/>
      <c r="H40" s="28"/>
      <c r="I40" s="28"/>
      <c r="J40" s="28"/>
      <c r="K40" s="30"/>
      <c r="L40" s="30"/>
      <c r="M40" s="28"/>
      <c r="N40" s="28"/>
      <c r="O40" s="113"/>
      <c r="P40" s="133"/>
      <c r="Q40" s="133"/>
      <c r="R40" s="18"/>
      <c r="S40" s="18"/>
      <c r="T40" s="18"/>
      <c r="U40" s="18"/>
    </row>
    <row r="41" spans="2:21">
      <c r="B41" s="18"/>
      <c r="C41" s="18"/>
      <c r="D41" s="29"/>
      <c r="E41" s="18"/>
      <c r="F41" s="18"/>
      <c r="G41" s="28"/>
      <c r="H41" s="28"/>
      <c r="I41" s="28"/>
      <c r="J41" s="30"/>
      <c r="K41" s="30"/>
      <c r="L41" s="28"/>
      <c r="M41" s="28"/>
      <c r="N41" s="113"/>
      <c r="O41" s="134"/>
      <c r="P41" s="134"/>
      <c r="Q41" s="134"/>
      <c r="R41" s="133"/>
      <c r="S41" s="113"/>
      <c r="T41" s="134"/>
      <c r="U41" s="18"/>
    </row>
    <row r="42" spans="2:21">
      <c r="B42" s="18"/>
      <c r="C42" s="18"/>
      <c r="D42" s="28"/>
      <c r="E42" s="18"/>
      <c r="F42" s="18"/>
      <c r="G42" s="28"/>
      <c r="H42" s="28"/>
      <c r="I42" s="28"/>
      <c r="J42" s="28"/>
      <c r="K42" s="30"/>
      <c r="L42" s="30"/>
      <c r="M42" s="28"/>
      <c r="N42" s="28"/>
      <c r="O42" s="113"/>
      <c r="P42" s="134"/>
      <c r="Q42" s="28"/>
      <c r="R42" s="28"/>
      <c r="S42" s="113"/>
      <c r="T42" s="134"/>
      <c r="U42" s="133"/>
    </row>
    <row r="43" spans="2:21">
      <c r="B43" s="27"/>
      <c r="C43" s="28"/>
      <c r="D43" s="28"/>
      <c r="E43" s="18"/>
      <c r="F43" s="18"/>
      <c r="G43" s="28"/>
      <c r="H43" s="28"/>
      <c r="I43" s="28"/>
      <c r="J43" s="28"/>
      <c r="K43" s="30"/>
      <c r="L43" s="30"/>
      <c r="M43" s="28"/>
      <c r="N43" s="28"/>
      <c r="O43" s="113"/>
      <c r="P43" s="134"/>
      <c r="Q43" s="28"/>
      <c r="R43" s="28"/>
      <c r="S43" s="113"/>
      <c r="T43" s="134"/>
      <c r="U43" s="133"/>
    </row>
    <row r="44" spans="2:21">
      <c r="B44" s="18"/>
      <c r="C44" s="18"/>
      <c r="D44" s="18"/>
      <c r="E44" s="18"/>
      <c r="F44" s="18"/>
      <c r="G44" s="18"/>
      <c r="H44" s="18"/>
      <c r="I44" s="18"/>
      <c r="J44" s="18"/>
      <c r="K44" s="18"/>
      <c r="L44" s="30"/>
      <c r="M44" s="28"/>
      <c r="N44" s="28"/>
      <c r="O44" s="113"/>
      <c r="P44" s="113"/>
      <c r="Q44" s="28"/>
      <c r="R44" s="28"/>
      <c r="S44" s="113"/>
      <c r="T44" s="134"/>
      <c r="U44" s="133"/>
    </row>
    <row r="45" spans="2:21">
      <c r="B45" s="27"/>
      <c r="C45" s="28"/>
      <c r="D45" s="135"/>
      <c r="E45" s="18"/>
      <c r="F45" s="18"/>
      <c r="G45" s="28"/>
      <c r="H45" s="28"/>
      <c r="I45" s="28"/>
      <c r="J45" s="30"/>
      <c r="K45" s="18" t="s">
        <v>168</v>
      </c>
      <c r="L45" s="28"/>
      <c r="M45" s="28"/>
      <c r="N45" s="113"/>
      <c r="O45" s="113"/>
      <c r="P45" s="30"/>
      <c r="Q45" s="28"/>
      <c r="R45" s="28"/>
      <c r="S45" s="113"/>
      <c r="T45" s="134"/>
      <c r="U45" s="133"/>
    </row>
    <row r="46" spans="2:21" ht="24">
      <c r="B46" s="18"/>
      <c r="C46" s="18"/>
      <c r="D46" s="136" t="s">
        <v>230</v>
      </c>
      <c r="E46" s="136" t="s">
        <v>218</v>
      </c>
      <c r="F46" s="137" t="s">
        <v>219</v>
      </c>
      <c r="G46" s="18"/>
      <c r="H46" s="18"/>
      <c r="I46" s="18"/>
      <c r="J46" s="138" t="s">
        <v>172</v>
      </c>
      <c r="K46" s="139" t="s">
        <v>173</v>
      </c>
      <c r="L46" s="140">
        <v>2500</v>
      </c>
      <c r="M46" s="140">
        <v>5000</v>
      </c>
      <c r="N46" s="140">
        <v>7500</v>
      </c>
      <c r="O46" s="140">
        <v>10000</v>
      </c>
      <c r="P46" s="30"/>
      <c r="Q46" s="28"/>
      <c r="R46" s="28"/>
      <c r="S46" s="113"/>
      <c r="T46" s="134"/>
      <c r="U46" s="133"/>
    </row>
    <row r="47" spans="2:21">
      <c r="B47" s="18"/>
      <c r="C47" s="141" t="s">
        <v>174</v>
      </c>
      <c r="D47" s="141">
        <v>104</v>
      </c>
      <c r="E47" s="142">
        <f>SQRT($E$21/1670)*D47</f>
        <v>103.97633263634083</v>
      </c>
      <c r="F47" s="142">
        <f>SQRT($M$20/1670)*D47</f>
        <v>101.34173975005986</v>
      </c>
      <c r="G47" s="18"/>
      <c r="H47" s="18"/>
      <c r="I47" s="143" t="s">
        <v>175</v>
      </c>
      <c r="J47" s="144">
        <v>54</v>
      </c>
      <c r="K47" s="145">
        <f>SQRT($E$21/1670)*J47</f>
        <v>53.987711176561582</v>
      </c>
      <c r="L47" s="145">
        <f>K47+1.08</f>
        <v>55.067711176561581</v>
      </c>
      <c r="M47" s="145">
        <f>L47+1.08</f>
        <v>56.147711176561579</v>
      </c>
      <c r="N47" s="145">
        <f>M47+1.08</f>
        <v>57.227711176561577</v>
      </c>
      <c r="O47" s="145">
        <f>N47+1.08</f>
        <v>58.307711176561575</v>
      </c>
      <c r="P47" s="30"/>
      <c r="Q47" s="28"/>
      <c r="R47" s="28"/>
      <c r="S47" s="113"/>
      <c r="T47" s="134"/>
      <c r="U47" s="133"/>
    </row>
    <row r="48" spans="2:21">
      <c r="B48" s="18"/>
      <c r="C48" s="141" t="s">
        <v>176</v>
      </c>
      <c r="D48" s="141">
        <v>60</v>
      </c>
      <c r="E48" s="142">
        <f>SQRT($E$21/1670)*D48</f>
        <v>59.986345751735094</v>
      </c>
      <c r="F48" s="142">
        <f>SQRT($M$20/1670)*D48</f>
        <v>58.466388317342222</v>
      </c>
      <c r="G48" s="18"/>
      <c r="H48" s="18"/>
      <c r="I48" s="147" t="s">
        <v>177</v>
      </c>
      <c r="J48" s="148">
        <v>67</v>
      </c>
      <c r="K48" s="149">
        <f>SQRT($E$21/1670)*J48</f>
        <v>66.984752756104186</v>
      </c>
      <c r="L48" s="149">
        <f>K48-1.3</f>
        <v>65.684752756104189</v>
      </c>
      <c r="M48" s="149">
        <f>L48-1.3</f>
        <v>64.384752756104191</v>
      </c>
      <c r="N48" s="149">
        <f>M48-1.3</f>
        <v>63.084752756104194</v>
      </c>
      <c r="O48" s="149">
        <f>N48-1.3</f>
        <v>61.784752756104197</v>
      </c>
      <c r="P48" s="30"/>
      <c r="Q48" s="28"/>
      <c r="R48" s="28"/>
      <c r="S48" s="113"/>
      <c r="T48" s="134"/>
      <c r="U48" s="133"/>
    </row>
    <row r="49" spans="2:21">
      <c r="B49" s="18"/>
      <c r="C49" s="147" t="s">
        <v>178</v>
      </c>
      <c r="D49" s="147">
        <v>35</v>
      </c>
      <c r="E49" s="150">
        <f>SQRT($E$21/1670)*D49</f>
        <v>34.992035021845467</v>
      </c>
      <c r="F49" s="150">
        <f>SQRT($M$20/1670)*D49</f>
        <v>34.105393185116299</v>
      </c>
      <c r="G49" s="18"/>
      <c r="H49" s="18"/>
      <c r="I49" s="18"/>
      <c r="J49" s="18"/>
      <c r="K49" s="18" t="s">
        <v>179</v>
      </c>
      <c r="L49" s="18"/>
      <c r="M49" s="18"/>
      <c r="N49" s="18"/>
      <c r="O49" s="18"/>
      <c r="P49" s="30"/>
      <c r="Q49" s="28"/>
      <c r="R49" s="28"/>
      <c r="S49" s="113"/>
      <c r="T49" s="134"/>
      <c r="U49" s="133"/>
    </row>
    <row r="50" spans="2:21">
      <c r="B50" s="18"/>
      <c r="C50" s="151" t="s">
        <v>180</v>
      </c>
      <c r="D50" s="151">
        <v>40</v>
      </c>
      <c r="E50" s="150">
        <f>SQRT($E$21/1670)*D50</f>
        <v>39.990897167823391</v>
      </c>
      <c r="F50" s="150">
        <f>SQRT($M$20/1670)*D50</f>
        <v>38.977592211561486</v>
      </c>
      <c r="G50" s="18"/>
      <c r="H50" s="18"/>
      <c r="I50" s="143" t="s">
        <v>175</v>
      </c>
      <c r="J50" s="144">
        <v>54</v>
      </c>
      <c r="K50" s="145">
        <f>SQRT($M$20/1670)*J50</f>
        <v>52.619749485608004</v>
      </c>
      <c r="L50" s="145">
        <f>K50+1.08</f>
        <v>53.699749485608002</v>
      </c>
      <c r="M50" s="145">
        <f>L50+1.08</f>
        <v>54.779749485608001</v>
      </c>
      <c r="N50" s="145">
        <f>M50+1.08</f>
        <v>55.859749485607999</v>
      </c>
      <c r="O50" s="145">
        <f>N50+1.08</f>
        <v>56.939749485607997</v>
      </c>
      <c r="P50" s="30"/>
      <c r="Q50" s="28"/>
      <c r="R50" s="28"/>
      <c r="S50" s="113"/>
      <c r="T50" s="134"/>
      <c r="U50" s="133"/>
    </row>
    <row r="51" spans="2:21">
      <c r="B51" s="144"/>
      <c r="C51" s="143" t="s">
        <v>220</v>
      </c>
      <c r="D51" s="153">
        <v>54</v>
      </c>
      <c r="E51" s="153">
        <f>SQRT($E$21/1670)*D51</f>
        <v>53.987711176561582</v>
      </c>
      <c r="F51" s="153">
        <f>SQRT($M$20/1670)*D51</f>
        <v>52.619749485608004</v>
      </c>
      <c r="G51" s="18"/>
      <c r="H51" s="18"/>
      <c r="I51" s="147" t="s">
        <v>177</v>
      </c>
      <c r="J51" s="148">
        <v>67</v>
      </c>
      <c r="K51" s="149">
        <f>SQRT($M$20/1670)*J51</f>
        <v>65.287466954365485</v>
      </c>
      <c r="L51" s="149">
        <f>K51-1.3</f>
        <v>63.987466954365487</v>
      </c>
      <c r="M51" s="149">
        <f>L51-1.3</f>
        <v>62.68746695436549</v>
      </c>
      <c r="N51" s="149">
        <f>M51-1.3</f>
        <v>61.387466954365493</v>
      </c>
      <c r="O51" s="149">
        <f>N51-1.3</f>
        <v>60.087466954365496</v>
      </c>
      <c r="P51" s="30"/>
      <c r="Q51" s="28"/>
      <c r="R51" s="28"/>
      <c r="S51" s="113"/>
      <c r="T51" s="134"/>
      <c r="U51" s="133"/>
    </row>
    <row r="52" spans="2:21">
      <c r="B52" s="27"/>
      <c r="C52" s="28"/>
      <c r="D52" s="18"/>
      <c r="E52" s="18"/>
      <c r="F52" s="29"/>
      <c r="G52" s="18"/>
      <c r="H52" s="29"/>
      <c r="I52" s="28"/>
      <c r="J52" s="28"/>
      <c r="K52" s="28"/>
      <c r="L52" s="28"/>
      <c r="M52" s="28"/>
      <c r="N52" s="28"/>
      <c r="O52" s="30"/>
      <c r="P52" s="30"/>
      <c r="Q52" s="28"/>
      <c r="R52" s="28"/>
      <c r="S52" s="113"/>
      <c r="T52" s="134"/>
      <c r="U52" s="133"/>
    </row>
    <row r="53" spans="2:21">
      <c r="B53" s="27"/>
      <c r="C53" s="28"/>
      <c r="D53" s="18"/>
      <c r="E53" s="18"/>
      <c r="F53" s="29"/>
      <c r="G53" s="18"/>
      <c r="H53" s="29"/>
      <c r="I53" s="28"/>
      <c r="J53" s="28"/>
      <c r="K53" s="28"/>
      <c r="L53" s="28"/>
      <c r="M53" s="28"/>
      <c r="N53" s="28"/>
      <c r="O53" s="30"/>
      <c r="P53" s="30"/>
      <c r="Q53" s="28"/>
      <c r="R53" s="28"/>
      <c r="S53" s="113"/>
      <c r="T53" s="134"/>
      <c r="U53" s="133"/>
    </row>
    <row r="54" spans="2:21">
      <c r="B54" s="27"/>
      <c r="C54" s="28"/>
      <c r="D54" s="18"/>
      <c r="E54" s="18"/>
      <c r="F54" s="29"/>
      <c r="G54" s="18"/>
      <c r="H54" s="29"/>
      <c r="I54" s="28"/>
      <c r="J54" s="28"/>
      <c r="K54" s="28"/>
      <c r="L54" s="28"/>
      <c r="M54" s="28"/>
      <c r="N54" s="28"/>
      <c r="O54" s="30"/>
      <c r="P54" s="30"/>
      <c r="Q54" s="28"/>
      <c r="R54" s="28"/>
      <c r="S54" s="113"/>
      <c r="T54" s="134"/>
      <c r="U54" s="133"/>
    </row>
    <row r="55" spans="2:21">
      <c r="B55" s="27"/>
      <c r="C55" s="28"/>
      <c r="D55" s="18"/>
      <c r="E55" s="18"/>
      <c r="F55" s="29"/>
      <c r="G55" s="18"/>
      <c r="H55" s="29"/>
      <c r="I55" s="28"/>
      <c r="J55" s="28"/>
      <c r="K55" s="28"/>
      <c r="L55" s="28"/>
      <c r="M55" s="28"/>
      <c r="N55" s="28"/>
      <c r="O55" s="30"/>
      <c r="P55" s="30"/>
      <c r="Q55" s="28"/>
      <c r="R55" s="28"/>
      <c r="S55" s="113"/>
      <c r="T55" s="134"/>
      <c r="U55" s="133"/>
    </row>
    <row r="56" spans="2:21">
      <c r="B56" s="27"/>
      <c r="C56" s="28"/>
      <c r="D56" s="18"/>
      <c r="E56" s="18"/>
      <c r="F56" s="29"/>
      <c r="G56" s="18"/>
      <c r="H56" s="29"/>
      <c r="I56" s="28"/>
      <c r="J56" s="28"/>
      <c r="K56" s="28"/>
      <c r="L56" s="28"/>
      <c r="M56" s="28"/>
      <c r="N56" s="28"/>
      <c r="O56" s="30"/>
      <c r="P56" s="30"/>
      <c r="Q56" s="28"/>
      <c r="R56" s="28"/>
      <c r="S56" s="113"/>
      <c r="T56" s="134"/>
      <c r="U56" s="133"/>
    </row>
    <row r="57" spans="2:21">
      <c r="B57" s="27"/>
      <c r="C57" s="28"/>
      <c r="D57" s="18"/>
      <c r="E57" s="18"/>
      <c r="F57" s="29"/>
      <c r="G57" s="18"/>
      <c r="H57" s="29"/>
      <c r="I57" s="28"/>
      <c r="J57" s="28"/>
      <c r="K57" s="28"/>
      <c r="L57" s="28"/>
      <c r="M57" s="28"/>
      <c r="N57" s="28"/>
      <c r="O57" s="30"/>
      <c r="P57" s="30"/>
      <c r="Q57" s="28"/>
      <c r="R57" s="28"/>
      <c r="S57" s="113"/>
      <c r="T57" s="134"/>
      <c r="U57" s="133"/>
    </row>
    <row r="58" spans="2:21">
      <c r="B58" s="27"/>
      <c r="C58" s="28"/>
      <c r="D58" s="18"/>
      <c r="E58" s="18"/>
      <c r="F58" s="29"/>
      <c r="G58" s="18"/>
      <c r="H58" s="29"/>
      <c r="I58" s="28"/>
      <c r="J58" s="28"/>
      <c r="K58" s="28"/>
      <c r="L58" s="28"/>
      <c r="M58" s="28"/>
      <c r="N58" s="28"/>
      <c r="O58" s="30"/>
      <c r="P58" s="30"/>
      <c r="Q58" s="28"/>
      <c r="R58" s="28"/>
      <c r="S58" s="113"/>
      <c r="T58" s="134"/>
      <c r="U58" s="133"/>
    </row>
    <row r="59" spans="2:21">
      <c r="B59" s="27"/>
      <c r="C59" s="28"/>
      <c r="D59" s="18"/>
      <c r="E59" s="18"/>
      <c r="F59" s="29"/>
      <c r="G59" s="18"/>
      <c r="H59" s="29"/>
      <c r="I59" s="28"/>
      <c r="J59" s="28"/>
      <c r="K59" s="28"/>
      <c r="L59" s="28"/>
      <c r="M59" s="28"/>
      <c r="N59" s="28"/>
      <c r="O59" s="30"/>
      <c r="P59" s="30"/>
      <c r="Q59" s="28"/>
      <c r="R59" s="28"/>
      <c r="S59" s="113"/>
      <c r="T59" s="134"/>
      <c r="U59" s="133"/>
    </row>
    <row r="60" spans="2:21">
      <c r="B60" s="27"/>
      <c r="C60" s="28"/>
      <c r="D60" s="18"/>
      <c r="E60" s="18"/>
      <c r="F60" s="29"/>
      <c r="G60" s="18"/>
      <c r="H60" s="29"/>
      <c r="I60" s="28"/>
      <c r="J60" s="28"/>
      <c r="K60" s="28"/>
      <c r="L60" s="28"/>
      <c r="M60" s="28"/>
      <c r="N60" s="28"/>
      <c r="O60" s="30"/>
      <c r="P60" s="30"/>
      <c r="Q60" s="28"/>
      <c r="R60" s="28"/>
      <c r="S60" s="113"/>
      <c r="T60" s="134"/>
      <c r="U60" s="133"/>
    </row>
    <row r="61" spans="2:21">
      <c r="B61" s="27"/>
      <c r="C61" s="28"/>
      <c r="D61" s="18"/>
      <c r="E61" s="18"/>
      <c r="F61" s="29"/>
      <c r="G61" s="18"/>
      <c r="H61" s="29"/>
      <c r="I61" s="28"/>
      <c r="J61" s="28"/>
      <c r="K61" s="28"/>
      <c r="L61" s="28"/>
      <c r="M61" s="28"/>
      <c r="N61" s="28"/>
      <c r="O61" s="30"/>
      <c r="P61" s="30"/>
      <c r="Q61" s="28"/>
      <c r="R61" s="28"/>
      <c r="S61" s="113"/>
      <c r="T61" s="134"/>
      <c r="U61" s="133"/>
    </row>
    <row r="62" spans="2:21">
      <c r="B62" s="27"/>
      <c r="C62" s="28"/>
      <c r="D62" s="18"/>
      <c r="E62" s="18"/>
      <c r="F62" s="29"/>
      <c r="G62" s="18"/>
      <c r="H62" s="29"/>
      <c r="I62" s="28"/>
      <c r="J62" s="28"/>
      <c r="K62" s="28"/>
      <c r="L62" s="28"/>
      <c r="M62" s="28"/>
      <c r="N62" s="28"/>
      <c r="O62" s="30"/>
      <c r="P62" s="30"/>
      <c r="Q62" s="28"/>
      <c r="R62" s="28"/>
      <c r="S62" s="113"/>
      <c r="T62" s="134"/>
      <c r="U62" s="133"/>
    </row>
    <row r="63" spans="2:21">
      <c r="B63" s="27"/>
      <c r="C63" s="28"/>
      <c r="D63" s="18"/>
      <c r="E63" s="18"/>
      <c r="F63" s="29"/>
      <c r="G63" s="18"/>
      <c r="H63" s="29"/>
      <c r="I63" s="28"/>
      <c r="J63" s="28"/>
      <c r="K63" s="28"/>
      <c r="L63" s="28"/>
      <c r="M63" s="28"/>
      <c r="N63" s="28"/>
      <c r="O63" s="30"/>
      <c r="P63" s="30"/>
      <c r="Q63" s="28"/>
      <c r="R63" s="28"/>
      <c r="S63" s="113"/>
      <c r="T63" s="134"/>
      <c r="U63" s="133"/>
    </row>
    <row r="64" spans="2:21">
      <c r="B64" s="27"/>
      <c r="C64" s="28"/>
      <c r="D64" s="18"/>
      <c r="E64" s="18"/>
      <c r="F64" s="29"/>
      <c r="G64" s="18"/>
      <c r="H64" s="29"/>
      <c r="I64" s="28"/>
      <c r="J64" s="28"/>
      <c r="K64" s="28"/>
      <c r="L64" s="28"/>
      <c r="M64" s="28"/>
      <c r="N64" s="28"/>
      <c r="O64" s="30"/>
      <c r="P64" s="30"/>
      <c r="Q64" s="28"/>
      <c r="R64" s="28"/>
      <c r="S64" s="113"/>
      <c r="T64" s="134"/>
      <c r="U64" s="133"/>
    </row>
    <row r="65" spans="2:21">
      <c r="B65" s="27"/>
      <c r="C65" s="28"/>
      <c r="D65" s="18"/>
      <c r="E65" s="18"/>
      <c r="F65" s="29"/>
      <c r="G65" s="18"/>
      <c r="H65" s="29"/>
      <c r="I65" s="28"/>
      <c r="J65" s="28"/>
      <c r="K65" s="28"/>
      <c r="L65" s="28"/>
      <c r="M65" s="28"/>
      <c r="N65" s="28"/>
      <c r="O65" s="30"/>
      <c r="P65" s="30"/>
      <c r="Q65" s="28"/>
      <c r="R65" s="28"/>
      <c r="S65" s="113"/>
      <c r="T65" s="134"/>
      <c r="U65" s="133"/>
    </row>
    <row r="66" spans="2:21">
      <c r="B66" s="27"/>
      <c r="C66" s="28"/>
      <c r="D66" s="18"/>
      <c r="E66" s="18"/>
      <c r="F66" s="29"/>
      <c r="G66" s="18"/>
      <c r="H66" s="29"/>
      <c r="I66" s="28"/>
      <c r="J66" s="28"/>
      <c r="K66" s="28"/>
      <c r="L66" s="28"/>
      <c r="M66" s="28"/>
      <c r="N66" s="28"/>
      <c r="O66" s="30"/>
      <c r="P66" s="30"/>
      <c r="Q66" s="28"/>
      <c r="R66" s="28"/>
      <c r="S66" s="113"/>
      <c r="T66" s="134"/>
      <c r="U66" s="133"/>
    </row>
    <row r="67" spans="2:21">
      <c r="B67" s="27"/>
      <c r="C67" s="28"/>
      <c r="D67" s="18"/>
      <c r="E67" s="18"/>
      <c r="F67" s="29"/>
      <c r="G67" s="18"/>
      <c r="H67" s="29"/>
      <c r="I67" s="28"/>
      <c r="J67" s="28"/>
      <c r="K67" s="28"/>
      <c r="L67" s="28"/>
      <c r="M67" s="28"/>
      <c r="N67" s="28"/>
      <c r="O67" s="30"/>
      <c r="P67" s="30"/>
      <c r="Q67" s="28"/>
      <c r="R67" s="28"/>
      <c r="S67" s="113"/>
      <c r="T67" s="134"/>
      <c r="U67" s="133"/>
    </row>
    <row r="68" spans="2:21">
      <c r="B68" s="27"/>
      <c r="C68" s="28"/>
      <c r="D68" s="18"/>
      <c r="E68" s="18"/>
      <c r="F68" s="29"/>
      <c r="G68" s="18"/>
      <c r="H68" s="29"/>
      <c r="I68" s="28"/>
      <c r="J68" s="28"/>
      <c r="K68" s="28"/>
      <c r="L68" s="28"/>
      <c r="M68" s="28"/>
      <c r="N68" s="28"/>
      <c r="O68" s="30"/>
      <c r="P68" s="30"/>
      <c r="Q68" s="28"/>
      <c r="R68" s="28"/>
      <c r="S68" s="113"/>
      <c r="T68" s="134"/>
      <c r="U68" s="133"/>
    </row>
    <row r="69" spans="2:21">
      <c r="B69" s="27"/>
      <c r="C69" s="28"/>
      <c r="D69" s="18"/>
      <c r="E69" s="18"/>
      <c r="F69" s="29"/>
      <c r="G69" s="18"/>
      <c r="H69" s="29"/>
      <c r="I69" s="28"/>
      <c r="J69" s="28"/>
      <c r="K69" s="28"/>
      <c r="L69" s="28"/>
      <c r="M69" s="28"/>
      <c r="N69" s="28"/>
      <c r="O69" s="30"/>
      <c r="P69" s="30"/>
      <c r="Q69" s="28"/>
      <c r="R69" s="28"/>
      <c r="S69" s="113"/>
      <c r="T69" s="134"/>
      <c r="U69" s="133"/>
    </row>
    <row r="70" spans="2:21">
      <c r="B70" s="27"/>
      <c r="C70" s="28"/>
      <c r="D70" s="18"/>
      <c r="E70" s="18"/>
      <c r="F70" s="29"/>
      <c r="G70" s="18"/>
      <c r="H70" s="29"/>
      <c r="I70" s="28"/>
      <c r="J70" s="28"/>
      <c r="K70" s="28"/>
      <c r="L70" s="28"/>
      <c r="M70" s="28"/>
      <c r="N70" s="28"/>
      <c r="O70" s="30"/>
      <c r="P70" s="30"/>
      <c r="Q70" s="28"/>
      <c r="R70" s="28"/>
      <c r="S70" s="113"/>
      <c r="T70" s="134"/>
      <c r="U70" s="133"/>
    </row>
    <row r="71" spans="2:21">
      <c r="B71" s="27"/>
      <c r="C71" s="28"/>
      <c r="D71" s="18"/>
      <c r="E71" s="18"/>
      <c r="F71" s="29"/>
      <c r="G71" s="18"/>
      <c r="H71" s="29"/>
      <c r="I71" s="28"/>
      <c r="J71" s="28"/>
      <c r="K71" s="28"/>
      <c r="L71" s="28"/>
      <c r="M71" s="28"/>
      <c r="N71" s="28"/>
      <c r="O71" s="30"/>
      <c r="P71" s="30"/>
      <c r="Q71" s="28"/>
      <c r="R71" s="28"/>
      <c r="S71" s="113"/>
      <c r="T71" s="134"/>
      <c r="U71" s="133"/>
    </row>
    <row r="72" spans="2:21">
      <c r="B72" s="27"/>
      <c r="C72" s="28"/>
      <c r="D72" s="18"/>
      <c r="E72" s="18"/>
      <c r="F72" s="29"/>
      <c r="G72" s="18"/>
      <c r="H72" s="29"/>
      <c r="I72" s="28"/>
      <c r="J72" s="28"/>
      <c r="K72" s="28"/>
      <c r="L72" s="28"/>
      <c r="M72" s="28"/>
      <c r="N72" s="28"/>
      <c r="O72" s="30"/>
      <c r="P72" s="30"/>
      <c r="Q72" s="28"/>
      <c r="R72" s="28"/>
      <c r="S72" s="113"/>
      <c r="T72" s="134"/>
      <c r="U72" s="133"/>
    </row>
    <row r="73" spans="2:21">
      <c r="B73" s="27"/>
      <c r="C73" s="28"/>
      <c r="D73" s="18"/>
      <c r="E73" s="18"/>
      <c r="F73" s="29"/>
      <c r="G73" s="18"/>
      <c r="H73" s="29"/>
      <c r="I73" s="28"/>
      <c r="J73" s="28"/>
      <c r="K73" s="28"/>
      <c r="L73" s="28"/>
      <c r="M73" s="28"/>
      <c r="N73" s="28"/>
      <c r="O73" s="30"/>
      <c r="P73" s="30"/>
      <c r="Q73" s="28"/>
      <c r="R73" s="28"/>
      <c r="S73" s="113"/>
      <c r="T73" s="134"/>
      <c r="U73" s="133"/>
    </row>
    <row r="74" spans="2:21">
      <c r="B74" s="27"/>
      <c r="C74" s="28"/>
      <c r="D74" s="18"/>
      <c r="E74" s="18"/>
      <c r="F74" s="29"/>
      <c r="G74" s="18"/>
      <c r="H74" s="29"/>
      <c r="I74" s="28"/>
      <c r="J74" s="28"/>
      <c r="K74" s="28"/>
      <c r="L74" s="28"/>
      <c r="M74" s="28"/>
      <c r="N74" s="28"/>
      <c r="O74" s="30"/>
      <c r="P74" s="30"/>
      <c r="Q74" s="28"/>
      <c r="R74" s="28"/>
      <c r="S74" s="113"/>
      <c r="T74" s="134"/>
      <c r="U74" s="133"/>
    </row>
    <row r="75" spans="2:21">
      <c r="B75" s="27"/>
      <c r="C75" s="28"/>
      <c r="D75" s="18"/>
      <c r="E75" s="18"/>
      <c r="F75" s="29"/>
      <c r="G75" s="18"/>
      <c r="H75" s="29"/>
      <c r="I75" s="28"/>
      <c r="J75" s="28"/>
      <c r="K75" s="28"/>
      <c r="L75" s="28"/>
      <c r="M75" s="28"/>
      <c r="N75" s="28"/>
      <c r="O75" s="30"/>
      <c r="P75" s="30"/>
      <c r="Q75" s="28"/>
      <c r="R75" s="28"/>
      <c r="S75" s="113"/>
      <c r="T75" s="134"/>
      <c r="U75" s="133"/>
    </row>
    <row r="76" spans="2:21">
      <c r="B76" s="27"/>
      <c r="C76" s="28"/>
      <c r="D76" s="18"/>
      <c r="E76" s="18"/>
      <c r="F76" s="29"/>
      <c r="G76" s="18"/>
      <c r="H76" s="29"/>
      <c r="I76" s="28"/>
      <c r="J76" s="28"/>
      <c r="K76" s="28"/>
      <c r="L76" s="28"/>
      <c r="M76" s="28"/>
      <c r="N76" s="28"/>
      <c r="O76" s="30"/>
      <c r="P76" s="30"/>
      <c r="Q76" s="28"/>
      <c r="R76" s="28"/>
      <c r="S76" s="113"/>
      <c r="T76" s="134"/>
      <c r="U76" s="133"/>
    </row>
    <row r="77" spans="2:21">
      <c r="B77" s="27"/>
      <c r="C77" s="28"/>
      <c r="D77" s="18"/>
      <c r="E77" s="18"/>
      <c r="F77" s="29"/>
      <c r="G77" s="18"/>
      <c r="H77" s="29"/>
      <c r="I77" s="28"/>
      <c r="J77" s="28"/>
      <c r="K77" s="28"/>
      <c r="L77" s="28"/>
      <c r="M77" s="28"/>
      <c r="N77" s="28"/>
      <c r="O77" s="30"/>
      <c r="P77" s="30"/>
      <c r="Q77" s="28"/>
      <c r="R77" s="28"/>
      <c r="S77" s="113"/>
      <c r="T77" s="134"/>
      <c r="U77" s="133"/>
    </row>
    <row r="78" spans="2:21">
      <c r="B78" s="27"/>
      <c r="C78" s="28"/>
      <c r="D78" s="18"/>
      <c r="E78" s="18"/>
      <c r="F78" s="29"/>
      <c r="G78" s="18"/>
      <c r="H78" s="29"/>
      <c r="I78" s="28"/>
      <c r="J78" s="28"/>
      <c r="K78" s="28"/>
      <c r="L78" s="28"/>
      <c r="M78" s="28"/>
      <c r="N78" s="28"/>
      <c r="O78" s="30"/>
      <c r="P78" s="30"/>
      <c r="Q78" s="28"/>
      <c r="R78" s="28"/>
      <c r="S78" s="113"/>
      <c r="T78" s="134"/>
      <c r="U78" s="133"/>
    </row>
    <row r="79" spans="2:21">
      <c r="B79" s="27"/>
      <c r="C79" s="28"/>
      <c r="D79" s="18"/>
      <c r="E79" s="18"/>
      <c r="F79" s="29"/>
      <c r="G79" s="18"/>
      <c r="H79" s="29"/>
      <c r="I79" s="28"/>
      <c r="J79" s="28"/>
      <c r="K79" s="28"/>
      <c r="L79" s="28"/>
      <c r="M79" s="28"/>
      <c r="N79" s="28"/>
      <c r="O79" s="30"/>
      <c r="P79" s="30"/>
      <c r="Q79" s="28"/>
      <c r="R79" s="28"/>
      <c r="S79" s="113"/>
      <c r="T79" s="134"/>
      <c r="U79" s="133"/>
    </row>
    <row r="80" spans="2:21">
      <c r="B80" s="27"/>
      <c r="C80" s="28"/>
      <c r="D80" s="18"/>
      <c r="E80" s="18"/>
      <c r="F80" s="29"/>
      <c r="G80" s="18"/>
      <c r="H80" s="29"/>
      <c r="I80" s="28"/>
      <c r="J80" s="28"/>
      <c r="K80" s="28"/>
      <c r="L80" s="28"/>
      <c r="M80" s="28"/>
      <c r="N80" s="28"/>
      <c r="O80" s="30"/>
      <c r="P80" s="30"/>
      <c r="Q80" s="28"/>
      <c r="R80" s="28"/>
      <c r="S80" s="113"/>
      <c r="T80" s="134"/>
      <c r="U80" s="133"/>
    </row>
    <row r="81" spans="2:21">
      <c r="B81" s="27"/>
      <c r="C81" s="28"/>
      <c r="D81" s="18"/>
      <c r="E81" s="18"/>
      <c r="F81" s="29"/>
      <c r="G81" s="18"/>
      <c r="H81" s="29"/>
      <c r="I81" s="28"/>
      <c r="J81" s="28"/>
      <c r="K81" s="28"/>
      <c r="L81" s="28"/>
      <c r="M81" s="28"/>
      <c r="N81" s="28"/>
      <c r="O81" s="30"/>
      <c r="P81" s="30"/>
      <c r="Q81" s="28"/>
      <c r="R81" s="28"/>
      <c r="S81" s="113"/>
      <c r="T81" s="134"/>
      <c r="U81" s="133"/>
    </row>
    <row r="82" spans="2:21">
      <c r="B82" s="27"/>
      <c r="C82" s="28"/>
      <c r="D82" s="18"/>
      <c r="E82" s="18"/>
      <c r="F82" s="29"/>
      <c r="G82" s="18"/>
      <c r="H82" s="29"/>
      <c r="I82" s="28"/>
      <c r="J82" s="28"/>
      <c r="K82" s="28"/>
      <c r="L82" s="28"/>
      <c r="M82" s="28"/>
      <c r="N82" s="28"/>
      <c r="O82" s="30"/>
      <c r="P82" s="30"/>
      <c r="Q82" s="28"/>
      <c r="R82" s="28"/>
      <c r="S82" s="113"/>
      <c r="T82" s="134"/>
      <c r="U82" s="133"/>
    </row>
    <row r="83" spans="2:21">
      <c r="B83" s="27"/>
      <c r="C83" s="28"/>
      <c r="D83" s="18"/>
      <c r="E83" s="18"/>
      <c r="F83" s="29"/>
      <c r="G83" s="18"/>
      <c r="H83" s="29"/>
      <c r="I83" s="28"/>
      <c r="J83" s="28"/>
      <c r="K83" s="28"/>
      <c r="L83" s="28"/>
      <c r="M83" s="28"/>
      <c r="N83" s="28"/>
      <c r="O83" s="30"/>
      <c r="P83" s="30"/>
      <c r="Q83" s="28"/>
      <c r="R83" s="28"/>
      <c r="S83" s="113"/>
      <c r="T83" s="134"/>
      <c r="U83" s="133"/>
    </row>
    <row r="84" spans="2:21">
      <c r="B84" s="27"/>
      <c r="C84" s="28"/>
      <c r="D84" s="18"/>
      <c r="E84" s="18"/>
      <c r="F84" s="29"/>
      <c r="G84" s="18"/>
      <c r="H84" s="29"/>
      <c r="I84" s="28"/>
      <c r="J84" s="28"/>
      <c r="K84" s="28"/>
      <c r="L84" s="28"/>
      <c r="M84" s="28"/>
      <c r="N84" s="28"/>
      <c r="O84" s="30"/>
      <c r="P84" s="30"/>
      <c r="Q84" s="28"/>
      <c r="R84" s="28"/>
      <c r="S84" s="113"/>
      <c r="T84" s="134"/>
      <c r="U84" s="133"/>
    </row>
    <row r="85" spans="2:21">
      <c r="B85" s="27"/>
      <c r="C85" s="28"/>
      <c r="D85" s="18"/>
      <c r="E85" s="18"/>
      <c r="F85" s="29"/>
      <c r="G85" s="18"/>
      <c r="H85" s="29"/>
      <c r="I85" s="28"/>
      <c r="J85" s="28"/>
      <c r="K85" s="28"/>
      <c r="L85" s="28"/>
      <c r="M85" s="28"/>
      <c r="N85" s="28"/>
      <c r="O85" s="30"/>
      <c r="P85" s="30"/>
      <c r="Q85" s="28"/>
      <c r="R85" s="28"/>
      <c r="S85" s="113"/>
      <c r="T85" s="134"/>
      <c r="U85" s="133"/>
    </row>
    <row r="86" spans="2:21">
      <c r="B86" s="27"/>
      <c r="C86" s="28"/>
      <c r="D86" s="18"/>
      <c r="E86" s="18"/>
      <c r="F86" s="29"/>
      <c r="G86" s="18"/>
      <c r="H86" s="29"/>
      <c r="I86" s="28"/>
      <c r="J86" s="28"/>
      <c r="K86" s="28"/>
      <c r="L86" s="28"/>
      <c r="M86" s="28"/>
      <c r="N86" s="28"/>
      <c r="O86" s="30"/>
      <c r="P86" s="30"/>
      <c r="Q86" s="28"/>
      <c r="R86" s="28"/>
      <c r="S86" s="113"/>
      <c r="T86" s="134"/>
      <c r="U86" s="133"/>
    </row>
    <row r="87" spans="2:21">
      <c r="B87" s="27"/>
      <c r="C87" s="28"/>
      <c r="D87" s="18"/>
      <c r="E87" s="18"/>
      <c r="F87" s="29"/>
      <c r="G87" s="18"/>
      <c r="H87" s="29"/>
      <c r="I87" s="28"/>
      <c r="J87" s="28"/>
      <c r="K87" s="28"/>
      <c r="L87" s="28"/>
      <c r="M87" s="28"/>
      <c r="N87" s="28"/>
      <c r="O87" s="30"/>
      <c r="P87" s="30"/>
      <c r="Q87" s="28"/>
      <c r="R87" s="28"/>
      <c r="S87" s="113"/>
      <c r="T87" s="134"/>
      <c r="U87" s="133"/>
    </row>
    <row r="88" spans="2:21">
      <c r="B88" s="27"/>
      <c r="C88" s="28"/>
      <c r="D88" s="18"/>
      <c r="E88" s="18"/>
      <c r="F88" s="29"/>
      <c r="G88" s="18"/>
      <c r="H88" s="29"/>
      <c r="I88" s="28"/>
      <c r="J88" s="28"/>
      <c r="K88" s="28"/>
      <c r="L88" s="28"/>
      <c r="M88" s="28"/>
      <c r="N88" s="28"/>
      <c r="O88" s="30"/>
      <c r="P88" s="30"/>
      <c r="Q88" s="28"/>
      <c r="R88" s="28"/>
      <c r="S88" s="113"/>
      <c r="T88" s="134"/>
      <c r="U88" s="133"/>
    </row>
    <row r="89" spans="2:21">
      <c r="B89" s="27"/>
      <c r="C89" s="28"/>
      <c r="D89" s="18"/>
      <c r="E89" s="18"/>
      <c r="F89" s="29"/>
      <c r="G89" s="18"/>
      <c r="H89" s="29"/>
      <c r="I89" s="28"/>
      <c r="J89" s="28"/>
      <c r="K89" s="28"/>
      <c r="L89" s="28"/>
      <c r="M89" s="28"/>
      <c r="N89" s="28"/>
      <c r="O89" s="30"/>
      <c r="P89" s="30"/>
      <c r="Q89" s="28"/>
      <c r="R89" s="28"/>
      <c r="S89" s="113"/>
      <c r="T89" s="134"/>
      <c r="U89" s="133"/>
    </row>
    <row r="90" spans="2:21">
      <c r="B90" s="27"/>
      <c r="C90" s="28"/>
      <c r="D90" s="18"/>
      <c r="E90" s="18"/>
      <c r="F90" s="29"/>
      <c r="G90" s="18"/>
      <c r="H90" s="29"/>
      <c r="I90" s="28"/>
      <c r="J90" s="28"/>
      <c r="K90" s="28"/>
      <c r="L90" s="28"/>
      <c r="M90" s="28"/>
      <c r="N90" s="28"/>
      <c r="O90" s="30"/>
      <c r="P90" s="30"/>
      <c r="Q90" s="28"/>
      <c r="R90" s="28"/>
      <c r="S90" s="113"/>
      <c r="T90" s="134"/>
      <c r="U90" s="133"/>
    </row>
    <row r="91" spans="2:21">
      <c r="B91" s="27"/>
      <c r="C91" s="28"/>
      <c r="D91" s="18"/>
      <c r="E91" s="18"/>
      <c r="F91" s="29"/>
      <c r="G91" s="18"/>
      <c r="H91" s="29"/>
      <c r="I91" s="28"/>
      <c r="J91" s="28"/>
      <c r="K91" s="28"/>
      <c r="L91" s="28"/>
      <c r="M91" s="28"/>
      <c r="N91" s="28"/>
      <c r="O91" s="30"/>
      <c r="P91" s="30"/>
      <c r="Q91" s="28"/>
      <c r="R91" s="28"/>
      <c r="S91" s="113"/>
      <c r="T91" s="134"/>
      <c r="U91" s="133"/>
    </row>
    <row r="92" spans="2:21">
      <c r="B92" s="27"/>
      <c r="C92" s="28"/>
      <c r="D92" s="18"/>
      <c r="E92" s="18"/>
      <c r="F92" s="29"/>
      <c r="G92" s="18"/>
      <c r="H92" s="29"/>
      <c r="I92" s="28"/>
      <c r="J92" s="28"/>
      <c r="K92" s="28"/>
      <c r="L92" s="28"/>
      <c r="M92" s="28"/>
      <c r="N92" s="28"/>
      <c r="O92" s="30"/>
      <c r="P92" s="30"/>
      <c r="Q92" s="28"/>
      <c r="R92" s="28"/>
      <c r="S92" s="113"/>
      <c r="T92" s="134"/>
      <c r="U92" s="133"/>
    </row>
    <row r="93" spans="2:21">
      <c r="B93" s="27"/>
      <c r="C93" s="28"/>
      <c r="D93" s="18"/>
      <c r="E93" s="18"/>
      <c r="F93" s="29"/>
      <c r="G93" s="18"/>
      <c r="H93" s="29"/>
      <c r="I93" s="28"/>
      <c r="J93" s="28"/>
      <c r="K93" s="28"/>
      <c r="L93" s="28"/>
      <c r="M93" s="28"/>
      <c r="N93" s="28"/>
      <c r="O93" s="30"/>
      <c r="P93" s="30"/>
      <c r="Q93" s="28"/>
      <c r="R93" s="28"/>
      <c r="S93" s="113"/>
      <c r="T93" s="134"/>
      <c r="U93" s="133"/>
    </row>
    <row r="94" spans="2:21">
      <c r="B94" s="27"/>
      <c r="C94" s="28"/>
      <c r="D94" s="18"/>
      <c r="E94" s="18"/>
      <c r="F94" s="29"/>
      <c r="G94" s="18"/>
      <c r="H94" s="29"/>
      <c r="I94" s="28"/>
      <c r="J94" s="28"/>
      <c r="K94" s="28"/>
      <c r="L94" s="28"/>
      <c r="M94" s="28"/>
      <c r="N94" s="28"/>
      <c r="O94" s="30"/>
      <c r="P94" s="30"/>
      <c r="Q94" s="28"/>
      <c r="R94" s="28"/>
      <c r="S94" s="113"/>
      <c r="T94" s="134"/>
      <c r="U94" s="133"/>
    </row>
    <row r="95" spans="2:21">
      <c r="B95" s="27"/>
      <c r="C95" s="28"/>
      <c r="D95" s="18"/>
      <c r="E95" s="18"/>
      <c r="F95" s="29"/>
      <c r="G95" s="18"/>
      <c r="H95" s="29"/>
      <c r="I95" s="28"/>
      <c r="J95" s="28"/>
      <c r="K95" s="28"/>
      <c r="L95" s="28"/>
      <c r="M95" s="28"/>
      <c r="N95" s="28"/>
      <c r="O95" s="30"/>
      <c r="P95" s="30"/>
      <c r="Q95" s="28"/>
      <c r="R95" s="28"/>
      <c r="S95" s="113"/>
      <c r="T95" s="134"/>
      <c r="U95" s="133"/>
    </row>
    <row r="96" spans="2:21">
      <c r="B96" s="27"/>
      <c r="C96" s="28"/>
      <c r="D96" s="18"/>
      <c r="E96" s="18"/>
      <c r="F96" s="29"/>
      <c r="G96" s="18"/>
      <c r="H96" s="29"/>
      <c r="I96" s="28"/>
      <c r="J96" s="28"/>
      <c r="K96" s="28"/>
      <c r="L96" s="28"/>
      <c r="M96" s="28"/>
      <c r="N96" s="28"/>
      <c r="O96" s="30"/>
      <c r="P96" s="30"/>
      <c r="Q96" s="28"/>
      <c r="R96" s="28"/>
      <c r="S96" s="113"/>
      <c r="T96" s="134"/>
      <c r="U96" s="133"/>
    </row>
    <row r="97" spans="2:21">
      <c r="B97" s="27"/>
      <c r="C97" s="28"/>
      <c r="D97" s="18"/>
      <c r="E97" s="18"/>
      <c r="F97" s="29"/>
      <c r="G97" s="18"/>
      <c r="H97" s="29"/>
      <c r="I97" s="28"/>
      <c r="J97" s="28"/>
      <c r="K97" s="28"/>
      <c r="L97" s="28"/>
      <c r="M97" s="28"/>
      <c r="N97" s="28"/>
      <c r="O97" s="30"/>
      <c r="P97" s="30"/>
      <c r="Q97" s="28"/>
      <c r="R97" s="28"/>
      <c r="S97" s="113"/>
      <c r="T97" s="134"/>
      <c r="U97" s="133"/>
    </row>
    <row r="98" spans="2:21">
      <c r="B98" s="27"/>
      <c r="C98" s="28"/>
      <c r="D98" s="18"/>
      <c r="E98" s="18"/>
      <c r="F98" s="29"/>
      <c r="G98" s="18"/>
      <c r="H98" s="29"/>
      <c r="I98" s="28"/>
      <c r="J98" s="28"/>
      <c r="K98" s="28"/>
      <c r="L98" s="28"/>
      <c r="M98" s="28"/>
      <c r="N98" s="28"/>
      <c r="O98" s="30"/>
      <c r="P98" s="30"/>
      <c r="Q98" s="28"/>
      <c r="R98" s="28"/>
      <c r="S98" s="113"/>
      <c r="T98" s="134"/>
      <c r="U98" s="133"/>
    </row>
    <row r="99" spans="2:21">
      <c r="B99" s="27"/>
      <c r="C99" s="28"/>
      <c r="D99" s="18"/>
      <c r="E99" s="18"/>
      <c r="F99" s="29"/>
      <c r="G99" s="18"/>
      <c r="H99" s="29"/>
      <c r="I99" s="28"/>
      <c r="J99" s="28"/>
      <c r="K99" s="28"/>
      <c r="L99" s="28"/>
      <c r="M99" s="28"/>
      <c r="N99" s="28"/>
      <c r="O99" s="30"/>
      <c r="P99" s="30"/>
      <c r="Q99" s="28"/>
      <c r="R99" s="28"/>
      <c r="S99" s="113"/>
      <c r="T99" s="134"/>
      <c r="U99" s="133"/>
    </row>
    <row r="100" spans="2:21">
      <c r="B100" s="27"/>
      <c r="C100" s="28"/>
      <c r="D100" s="18"/>
      <c r="E100" s="18"/>
      <c r="F100" s="29"/>
      <c r="G100" s="18"/>
      <c r="H100" s="29"/>
      <c r="I100" s="28"/>
      <c r="J100" s="28"/>
      <c r="K100" s="28"/>
      <c r="L100" s="28"/>
      <c r="M100" s="28"/>
      <c r="N100" s="28"/>
      <c r="O100" s="30"/>
      <c r="P100" s="30"/>
      <c r="Q100" s="28"/>
      <c r="R100" s="28"/>
      <c r="S100" s="113"/>
      <c r="T100" s="134"/>
      <c r="U100" s="133"/>
    </row>
    <row r="101" spans="2:21">
      <c r="B101" s="27"/>
      <c r="C101" s="28"/>
      <c r="D101" s="18"/>
      <c r="E101" s="18"/>
      <c r="F101" s="29"/>
      <c r="G101" s="18"/>
      <c r="H101" s="29"/>
      <c r="I101" s="28"/>
      <c r="J101" s="28"/>
      <c r="K101" s="28"/>
      <c r="L101" s="28"/>
      <c r="M101" s="28"/>
      <c r="N101" s="28"/>
      <c r="O101" s="30"/>
      <c r="P101" s="30"/>
      <c r="Q101" s="28"/>
      <c r="R101" s="28"/>
      <c r="S101" s="113"/>
      <c r="T101" s="134"/>
      <c r="U101" s="133"/>
    </row>
    <row r="102" spans="2:21">
      <c r="B102" s="27"/>
      <c r="C102" s="28"/>
      <c r="D102" s="18"/>
      <c r="E102" s="18"/>
      <c r="F102" s="29"/>
      <c r="G102" s="18"/>
      <c r="H102" s="29"/>
      <c r="I102" s="28"/>
      <c r="J102" s="28"/>
      <c r="K102" s="28"/>
      <c r="L102" s="28"/>
      <c r="M102" s="28"/>
      <c r="N102" s="28"/>
      <c r="O102" s="30"/>
      <c r="P102" s="30"/>
      <c r="Q102" s="28"/>
      <c r="R102" s="28"/>
      <c r="S102" s="113"/>
      <c r="T102" s="134"/>
      <c r="U102" s="133"/>
    </row>
    <row r="103" spans="2:21">
      <c r="B103" s="27"/>
      <c r="C103" s="28"/>
      <c r="D103" s="18"/>
      <c r="E103" s="18"/>
      <c r="F103" s="29"/>
      <c r="G103" s="18"/>
      <c r="H103" s="29"/>
      <c r="I103" s="28"/>
      <c r="J103" s="28"/>
      <c r="K103" s="28"/>
      <c r="L103" s="28"/>
      <c r="M103" s="28"/>
      <c r="N103" s="28"/>
      <c r="O103" s="30"/>
      <c r="P103" s="30"/>
      <c r="Q103" s="28"/>
      <c r="R103" s="28"/>
      <c r="S103" s="113"/>
      <c r="T103" s="134"/>
      <c r="U103" s="133"/>
    </row>
    <row r="104" spans="2:21">
      <c r="B104" s="27"/>
      <c r="C104" s="28"/>
      <c r="D104" s="18"/>
      <c r="E104" s="18"/>
      <c r="F104" s="29"/>
      <c r="G104" s="18"/>
      <c r="H104" s="29"/>
      <c r="I104" s="28"/>
      <c r="J104" s="28"/>
      <c r="K104" s="28"/>
      <c r="L104" s="28"/>
      <c r="M104" s="28"/>
      <c r="N104" s="28"/>
      <c r="O104" s="30"/>
      <c r="P104" s="30"/>
      <c r="Q104" s="28"/>
      <c r="R104" s="28"/>
      <c r="S104" s="113"/>
      <c r="T104" s="134"/>
      <c r="U104" s="133"/>
    </row>
    <row r="105" spans="2:21">
      <c r="B105" s="27"/>
      <c r="C105" s="28"/>
      <c r="D105" s="18"/>
      <c r="E105" s="18"/>
      <c r="F105" s="29"/>
      <c r="G105" s="18"/>
      <c r="H105" s="29"/>
      <c r="I105" s="28"/>
      <c r="J105" s="28"/>
      <c r="K105" s="28"/>
      <c r="L105" s="28"/>
      <c r="M105" s="28"/>
      <c r="N105" s="28"/>
      <c r="O105" s="30"/>
      <c r="P105" s="30"/>
      <c r="Q105" s="28"/>
      <c r="R105" s="28"/>
      <c r="S105" s="113"/>
      <c r="T105" s="134"/>
      <c r="U105" s="133"/>
    </row>
    <row r="106" spans="2:21">
      <c r="B106" s="27"/>
      <c r="C106" s="28"/>
      <c r="D106" s="18"/>
      <c r="E106" s="18"/>
      <c r="F106" s="29"/>
      <c r="G106" s="18"/>
      <c r="H106" s="29"/>
      <c r="I106" s="28"/>
      <c r="J106" s="28"/>
      <c r="K106" s="28"/>
      <c r="L106" s="28"/>
      <c r="M106" s="28"/>
      <c r="N106" s="28"/>
      <c r="O106" s="30"/>
      <c r="P106" s="30"/>
      <c r="Q106" s="28"/>
      <c r="R106" s="28"/>
      <c r="S106" s="113"/>
      <c r="T106" s="134"/>
      <c r="U106" s="133"/>
    </row>
    <row r="107" spans="2:21">
      <c r="B107" s="27"/>
      <c r="C107" s="28"/>
      <c r="D107" s="18"/>
      <c r="E107" s="18"/>
      <c r="F107" s="29"/>
      <c r="G107" s="18"/>
      <c r="H107" s="29"/>
      <c r="I107" s="28"/>
      <c r="J107" s="28"/>
      <c r="K107" s="28"/>
      <c r="L107" s="28"/>
      <c r="M107" s="28"/>
      <c r="N107" s="28"/>
      <c r="O107" s="30"/>
      <c r="P107" s="30"/>
      <c r="Q107" s="28"/>
      <c r="R107" s="28"/>
      <c r="S107" s="113"/>
      <c r="T107" s="134"/>
      <c r="U107" s="133"/>
    </row>
    <row r="108" spans="2:21">
      <c r="B108" s="27"/>
      <c r="C108" s="28"/>
      <c r="D108" s="18"/>
      <c r="E108" s="18"/>
      <c r="F108" s="29"/>
      <c r="G108" s="18"/>
      <c r="H108" s="29"/>
      <c r="I108" s="28"/>
      <c r="J108" s="28"/>
      <c r="K108" s="28"/>
      <c r="L108" s="28"/>
      <c r="M108" s="28"/>
      <c r="N108" s="28"/>
      <c r="O108" s="30"/>
      <c r="P108" s="30"/>
      <c r="Q108" s="28"/>
      <c r="R108" s="28"/>
      <c r="S108" s="113"/>
      <c r="T108" s="134"/>
      <c r="U108" s="133"/>
    </row>
    <row r="109" spans="2:21">
      <c r="B109" s="27"/>
      <c r="C109" s="28"/>
      <c r="D109" s="18"/>
      <c r="E109" s="18"/>
      <c r="F109" s="29"/>
      <c r="G109" s="18"/>
      <c r="H109" s="29"/>
      <c r="I109" s="28"/>
      <c r="J109" s="28"/>
      <c r="K109" s="28"/>
      <c r="L109" s="28"/>
      <c r="M109" s="28"/>
      <c r="N109" s="28"/>
      <c r="O109" s="30"/>
      <c r="P109" s="30"/>
      <c r="Q109" s="28"/>
      <c r="R109" s="28"/>
      <c r="S109" s="113"/>
      <c r="T109" s="134"/>
      <c r="U109" s="133"/>
    </row>
    <row r="110" spans="2:21">
      <c r="B110" s="27"/>
      <c r="C110" s="28"/>
      <c r="D110" s="18"/>
      <c r="E110" s="18"/>
      <c r="F110" s="29"/>
      <c r="G110" s="18"/>
      <c r="H110" s="29"/>
      <c r="I110" s="28"/>
      <c r="J110" s="28"/>
      <c r="K110" s="28"/>
      <c r="L110" s="28"/>
      <c r="M110" s="28"/>
      <c r="N110" s="28"/>
      <c r="O110" s="30"/>
      <c r="P110" s="30"/>
      <c r="Q110" s="28"/>
      <c r="R110" s="28"/>
      <c r="S110" s="113"/>
      <c r="T110" s="134"/>
      <c r="U110" s="133"/>
    </row>
    <row r="111" spans="2:21">
      <c r="B111" s="27"/>
      <c r="C111" s="28"/>
      <c r="D111" s="18"/>
      <c r="E111" s="18"/>
      <c r="F111" s="29"/>
      <c r="G111" s="18"/>
      <c r="H111" s="29"/>
      <c r="I111" s="28"/>
      <c r="J111" s="28"/>
      <c r="K111" s="28"/>
      <c r="L111" s="28"/>
      <c r="M111" s="28"/>
      <c r="N111" s="28"/>
      <c r="O111" s="30"/>
      <c r="P111" s="30"/>
      <c r="Q111" s="28"/>
      <c r="R111" s="28"/>
      <c r="S111" s="113"/>
      <c r="T111" s="134"/>
      <c r="U111" s="133"/>
    </row>
    <row r="112" spans="2:21">
      <c r="B112" s="27"/>
      <c r="C112" s="28"/>
      <c r="D112" s="18"/>
      <c r="E112" s="18"/>
      <c r="F112" s="29"/>
      <c r="G112" s="18"/>
      <c r="H112" s="29"/>
      <c r="I112" s="28"/>
      <c r="J112" s="28"/>
      <c r="K112" s="28"/>
      <c r="L112" s="28"/>
      <c r="M112" s="28"/>
      <c r="N112" s="28"/>
      <c r="O112" s="30"/>
      <c r="P112" s="30"/>
      <c r="Q112" s="28"/>
      <c r="R112" s="28"/>
      <c r="S112" s="113"/>
      <c r="T112" s="134"/>
      <c r="U112" s="133"/>
    </row>
    <row r="113" spans="2:21">
      <c r="B113" s="27"/>
      <c r="C113" s="28"/>
      <c r="D113" s="18"/>
      <c r="E113" s="18"/>
      <c r="F113" s="29"/>
      <c r="G113" s="18"/>
      <c r="H113" s="29"/>
      <c r="I113" s="28"/>
      <c r="J113" s="28"/>
      <c r="K113" s="28"/>
      <c r="L113" s="28"/>
      <c r="M113" s="28"/>
      <c r="N113" s="28"/>
      <c r="O113" s="30"/>
      <c r="P113" s="30"/>
      <c r="Q113" s="28"/>
      <c r="R113" s="28"/>
      <c r="S113" s="113"/>
      <c r="T113" s="134"/>
      <c r="U113" s="133"/>
    </row>
    <row r="114" spans="2:21">
      <c r="B114" s="27"/>
      <c r="C114" s="28"/>
      <c r="D114" s="18"/>
      <c r="E114" s="18"/>
      <c r="F114" s="29"/>
      <c r="G114" s="18"/>
      <c r="H114" s="29"/>
      <c r="I114" s="28"/>
      <c r="J114" s="28"/>
      <c r="K114" s="28"/>
      <c r="L114" s="28"/>
      <c r="M114" s="28"/>
      <c r="N114" s="28"/>
      <c r="O114" s="30"/>
      <c r="P114" s="30"/>
      <c r="Q114" s="28"/>
      <c r="R114" s="28"/>
      <c r="S114" s="113"/>
      <c r="T114" s="134"/>
      <c r="U114" s="133"/>
    </row>
    <row r="115" spans="2:21">
      <c r="B115" s="27"/>
      <c r="C115" s="28"/>
      <c r="D115" s="18"/>
      <c r="E115" s="18"/>
      <c r="F115" s="29"/>
      <c r="G115" s="18"/>
      <c r="H115" s="29"/>
      <c r="I115" s="28"/>
      <c r="J115" s="28"/>
      <c r="K115" s="28"/>
      <c r="L115" s="28"/>
      <c r="M115" s="28"/>
      <c r="N115" s="28"/>
      <c r="O115" s="30"/>
      <c r="P115" s="30"/>
      <c r="Q115" s="28"/>
      <c r="R115" s="28"/>
      <c r="S115" s="113"/>
      <c r="T115" s="134"/>
      <c r="U115" s="133"/>
    </row>
    <row r="116" spans="2:21">
      <c r="B116" s="27"/>
      <c r="C116" s="28"/>
      <c r="D116" s="18"/>
      <c r="E116" s="18"/>
      <c r="F116" s="29"/>
      <c r="G116" s="18"/>
      <c r="H116" s="29"/>
      <c r="I116" s="28"/>
      <c r="J116" s="28"/>
      <c r="K116" s="28"/>
      <c r="L116" s="28"/>
      <c r="M116" s="28"/>
      <c r="N116" s="28"/>
      <c r="O116" s="30"/>
      <c r="P116" s="30"/>
      <c r="Q116" s="28"/>
      <c r="R116" s="28"/>
      <c r="S116" s="113"/>
      <c r="T116" s="134"/>
      <c r="U116" s="133"/>
    </row>
    <row r="117" spans="2:21">
      <c r="B117" s="27"/>
      <c r="C117" s="28"/>
      <c r="D117" s="18"/>
      <c r="E117" s="18"/>
      <c r="F117" s="29"/>
      <c r="G117" s="18"/>
      <c r="H117" s="29"/>
      <c r="I117" s="28"/>
      <c r="J117" s="28"/>
      <c r="K117" s="28"/>
      <c r="L117" s="28"/>
      <c r="M117" s="28"/>
      <c r="N117" s="28"/>
      <c r="O117" s="30"/>
      <c r="P117" s="30"/>
      <c r="Q117" s="28"/>
      <c r="R117" s="28"/>
      <c r="S117" s="113"/>
      <c r="T117" s="134"/>
      <c r="U117" s="133"/>
    </row>
    <row r="118" spans="2:21">
      <c r="B118" s="27"/>
      <c r="C118" s="28"/>
      <c r="D118" s="18"/>
      <c r="E118" s="18"/>
      <c r="F118" s="29"/>
      <c r="G118" s="18"/>
      <c r="H118" s="29"/>
      <c r="I118" s="28"/>
      <c r="J118" s="28"/>
      <c r="K118" s="28"/>
      <c r="L118" s="28"/>
      <c r="M118" s="28"/>
      <c r="N118" s="28"/>
      <c r="O118" s="30"/>
      <c r="P118" s="30"/>
      <c r="Q118" s="28"/>
      <c r="R118" s="28"/>
      <c r="S118" s="113"/>
      <c r="T118" s="134"/>
      <c r="U118" s="133"/>
    </row>
    <row r="119" spans="2:21">
      <c r="B119" s="27"/>
      <c r="C119" s="28"/>
      <c r="D119" s="18"/>
      <c r="E119" s="18"/>
      <c r="F119" s="29"/>
      <c r="G119" s="18"/>
      <c r="H119" s="29"/>
      <c r="I119" s="28"/>
      <c r="J119" s="28"/>
      <c r="K119" s="28"/>
      <c r="L119" s="28"/>
      <c r="M119" s="28"/>
      <c r="N119" s="28"/>
      <c r="O119" s="30"/>
      <c r="P119" s="30"/>
      <c r="Q119" s="28"/>
      <c r="R119" s="28"/>
      <c r="U119" s="133"/>
    </row>
    <row r="120" spans="2:21">
      <c r="B120" s="27"/>
      <c r="C120" s="28"/>
      <c r="D120" s="18"/>
      <c r="E120" s="18"/>
      <c r="F120" s="29"/>
      <c r="G120" s="18"/>
      <c r="H120" s="29"/>
      <c r="I120" s="28"/>
      <c r="J120" s="28"/>
      <c r="K120" s="28"/>
      <c r="L120" s="28"/>
      <c r="M120" s="28"/>
      <c r="N120" s="28"/>
      <c r="O120" s="30"/>
      <c r="P120" s="30"/>
    </row>
    <row r="121" spans="2:21">
      <c r="B121" s="27"/>
      <c r="C121" s="28"/>
      <c r="D121" s="18"/>
      <c r="E121" s="18"/>
      <c r="F121" s="29"/>
      <c r="G121" s="18"/>
      <c r="H121" s="29"/>
      <c r="I121" s="28"/>
      <c r="J121" s="28"/>
      <c r="K121" s="28"/>
      <c r="L121" s="28"/>
      <c r="M121" s="28"/>
      <c r="N121" s="28"/>
      <c r="O121" s="30"/>
      <c r="P121" s="30"/>
    </row>
    <row r="122" spans="2:21">
      <c r="B122" s="27"/>
      <c r="C122" s="28"/>
      <c r="D122" s="18"/>
      <c r="E122" s="18"/>
      <c r="F122" s="29"/>
      <c r="G122" s="18"/>
      <c r="H122" s="29"/>
      <c r="I122" s="28"/>
      <c r="J122" s="28"/>
      <c r="K122" s="28"/>
      <c r="L122" s="28"/>
      <c r="M122" s="28"/>
      <c r="N122" s="28"/>
      <c r="O122" s="30"/>
      <c r="P122" s="30"/>
    </row>
    <row r="123" spans="2:21">
      <c r="B123" s="27"/>
      <c r="C123" s="28"/>
      <c r="D123" s="18"/>
      <c r="E123" s="18"/>
      <c r="F123" s="29"/>
      <c r="G123" s="18"/>
      <c r="H123" s="29"/>
      <c r="I123" s="28"/>
      <c r="J123" s="28"/>
      <c r="K123" s="28"/>
      <c r="L123" s="28"/>
      <c r="M123" s="28"/>
      <c r="N123" s="28"/>
      <c r="O123" s="30"/>
    </row>
    <row r="124" spans="2:21">
      <c r="B124" s="27"/>
      <c r="C124" s="28"/>
      <c r="D124" s="18"/>
      <c r="E124" s="18"/>
      <c r="F124" s="29"/>
      <c r="G124" s="18"/>
    </row>
    <row r="125" spans="2:21">
      <c r="B125" s="27"/>
      <c r="C125" s="28"/>
      <c r="D125" s="18"/>
      <c r="E125" s="18"/>
      <c r="F125" s="29"/>
    </row>
  </sheetData>
  <sheetProtection sheet="1" selectLockedCells="1"/>
  <mergeCells count="5">
    <mergeCell ref="B19:C19"/>
    <mergeCell ref="Y6:Z6"/>
    <mergeCell ref="AB6:AC6"/>
    <mergeCell ref="B13:D13"/>
    <mergeCell ref="J13:L13"/>
  </mergeCells>
  <phoneticPr fontId="15" type="noConversion"/>
  <printOptions horizontalCentered="1"/>
  <pageMargins left="0.35" right="0.20972222222222223" top="0.27013888888888887" bottom="0.22013888888888888" header="0.51180555555555551" footer="0.51180555555555551"/>
  <pageSetup firstPageNumber="0" orientation="landscape" horizontalDpi="300" verticalDpi="30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9</vt:i4>
      </vt:variant>
      <vt:variant>
        <vt:lpstr>Named Ranges</vt:lpstr>
      </vt:variant>
      <vt:variant>
        <vt:i4>215</vt:i4>
      </vt:variant>
    </vt:vector>
  </HeadingPairs>
  <TitlesOfParts>
    <vt:vector size="224" baseType="lpstr">
      <vt:lpstr>Instructions</vt:lpstr>
      <vt:lpstr>Trip Planner - Distance </vt:lpstr>
      <vt:lpstr>N121M-C182Q</vt:lpstr>
      <vt:lpstr>N7593S-C182Q</vt:lpstr>
      <vt:lpstr>N9989E-C182P</vt:lpstr>
      <vt:lpstr>N1293F-C172N</vt:lpstr>
      <vt:lpstr>N13686-C172M </vt:lpstr>
      <vt:lpstr>N4464R-C172M</vt:lpstr>
      <vt:lpstr>N67375-C152 </vt:lpstr>
      <vt:lpstr>'N121M-C182Q'!Arrival_Fuel</vt:lpstr>
      <vt:lpstr>'N1293F-C172N'!Arrival_Fuel</vt:lpstr>
      <vt:lpstr>'N13686-C172M '!Arrival_Fuel</vt:lpstr>
      <vt:lpstr>'N4464R-C172M'!Arrival_Fuel</vt:lpstr>
      <vt:lpstr>'N67375-C152 '!Arrival_Fuel</vt:lpstr>
      <vt:lpstr>'N9989E-C182P'!Arrival_Fuel</vt:lpstr>
      <vt:lpstr>Arrival_Fuel</vt:lpstr>
      <vt:lpstr>'N121M-C182Q'!Arrival_Fuel_Weight</vt:lpstr>
      <vt:lpstr>'N1293F-C172N'!Arrival_Fuel_Weight</vt:lpstr>
      <vt:lpstr>'N13686-C172M '!Arrival_Fuel_Weight</vt:lpstr>
      <vt:lpstr>'N4464R-C172M'!Arrival_Fuel_Weight</vt:lpstr>
      <vt:lpstr>'N67375-C152 '!Arrival_Fuel_Weight</vt:lpstr>
      <vt:lpstr>'N9989E-C182P'!Arrival_Fuel_Weight</vt:lpstr>
      <vt:lpstr>Arrival_Fuel_Weight</vt:lpstr>
      <vt:lpstr>'N121M-C182Q'!Baggage_1</vt:lpstr>
      <vt:lpstr>'N1293F-C172N'!Baggage_1</vt:lpstr>
      <vt:lpstr>'N13686-C172M '!Baggage_1</vt:lpstr>
      <vt:lpstr>'N4464R-C172M'!Baggage_1</vt:lpstr>
      <vt:lpstr>'N67375-C152 '!Baggage_1</vt:lpstr>
      <vt:lpstr>'N9989E-C182P'!Baggage_1</vt:lpstr>
      <vt:lpstr>Baggage_1</vt:lpstr>
      <vt:lpstr>'N121M-C182Q'!Baggage_1_Arm</vt:lpstr>
      <vt:lpstr>'N1293F-C172N'!Baggage_1_Arm</vt:lpstr>
      <vt:lpstr>'N13686-C172M '!Baggage_1_Arm</vt:lpstr>
      <vt:lpstr>'N4464R-C172M'!Baggage_1_Arm</vt:lpstr>
      <vt:lpstr>'N67375-C152 '!Baggage_1_Arm</vt:lpstr>
      <vt:lpstr>'N9989E-C182P'!Baggage_1_Arm</vt:lpstr>
      <vt:lpstr>Baggage_1_Arm</vt:lpstr>
      <vt:lpstr>'N121M-C182Q'!Baggage_1_Moment</vt:lpstr>
      <vt:lpstr>'N1293F-C172N'!Baggage_1_Moment</vt:lpstr>
      <vt:lpstr>'N13686-C172M '!Baggage_1_Moment</vt:lpstr>
      <vt:lpstr>'N4464R-C172M'!Baggage_1_Moment</vt:lpstr>
      <vt:lpstr>'N67375-C152 '!Baggage_1_Moment</vt:lpstr>
      <vt:lpstr>'N9989E-C182P'!Baggage_1_Moment</vt:lpstr>
      <vt:lpstr>Baggage_1_Moment</vt:lpstr>
      <vt:lpstr>'N121M-C182Q'!Baggage_2</vt:lpstr>
      <vt:lpstr>'N1293F-C172N'!Baggage_2</vt:lpstr>
      <vt:lpstr>'N13686-C172M '!Baggage_2</vt:lpstr>
      <vt:lpstr>'N4464R-C172M'!Baggage_2</vt:lpstr>
      <vt:lpstr>'N67375-C152 '!Baggage_2</vt:lpstr>
      <vt:lpstr>'N9989E-C182P'!Baggage_2</vt:lpstr>
      <vt:lpstr>Baggage_2</vt:lpstr>
      <vt:lpstr>'N121M-C182Q'!Baggage_2_Arm</vt:lpstr>
      <vt:lpstr>'N1293F-C172N'!Baggage_2_Arm</vt:lpstr>
      <vt:lpstr>'N13686-C172M '!Baggage_2_Arm</vt:lpstr>
      <vt:lpstr>'N4464R-C172M'!Baggage_2_Arm</vt:lpstr>
      <vt:lpstr>'N67375-C152 '!Baggage_2_Arm</vt:lpstr>
      <vt:lpstr>'N9989E-C182P'!Baggage_2_Arm</vt:lpstr>
      <vt:lpstr>Baggage_2_Arm</vt:lpstr>
      <vt:lpstr>'N121M-C182Q'!Baggage_2_Moment</vt:lpstr>
      <vt:lpstr>'N1293F-C172N'!Baggage_2_Moment</vt:lpstr>
      <vt:lpstr>'N13686-C172M '!Baggage_2_Moment</vt:lpstr>
      <vt:lpstr>'N4464R-C172M'!Baggage_2_Moment</vt:lpstr>
      <vt:lpstr>'N67375-C152 '!Baggage_2_Moment</vt:lpstr>
      <vt:lpstr>'N9989E-C182P'!Baggage_2_Moment</vt:lpstr>
      <vt:lpstr>Baggage_2_Moment</vt:lpstr>
      <vt:lpstr>'N121M-C182Q'!Departure_CG</vt:lpstr>
      <vt:lpstr>'N1293F-C172N'!Departure_CG</vt:lpstr>
      <vt:lpstr>'N13686-C172M '!Departure_CG</vt:lpstr>
      <vt:lpstr>'N4464R-C172M'!Departure_CG</vt:lpstr>
      <vt:lpstr>'N67375-C152 '!Departure_CG</vt:lpstr>
      <vt:lpstr>'N9989E-C182P'!Departure_CG</vt:lpstr>
      <vt:lpstr>Departure_CG</vt:lpstr>
      <vt:lpstr>'N121M-C182Q'!Departure_Fuel</vt:lpstr>
      <vt:lpstr>'N1293F-C172N'!Departure_Fuel</vt:lpstr>
      <vt:lpstr>'N13686-C172M '!Departure_Fuel</vt:lpstr>
      <vt:lpstr>'N4464R-C172M'!Departure_Fuel</vt:lpstr>
      <vt:lpstr>'N67375-C152 '!Departure_Fuel</vt:lpstr>
      <vt:lpstr>'N9989E-C182P'!Departure_Fuel</vt:lpstr>
      <vt:lpstr>Departure_Fuel</vt:lpstr>
      <vt:lpstr>'N121M-C182Q'!Departure_Fuel_Moment</vt:lpstr>
      <vt:lpstr>'N1293F-C172N'!Departure_Fuel_Moment</vt:lpstr>
      <vt:lpstr>'N13686-C172M '!Departure_Fuel_Moment</vt:lpstr>
      <vt:lpstr>'N4464R-C172M'!Departure_Fuel_Moment</vt:lpstr>
      <vt:lpstr>'N67375-C152 '!Departure_Fuel_Moment</vt:lpstr>
      <vt:lpstr>'N9989E-C182P'!Departure_Fuel_Moment</vt:lpstr>
      <vt:lpstr>Departure_Fuel_Moment</vt:lpstr>
      <vt:lpstr>'N121M-C182Q'!Departure_Fuel_Weight</vt:lpstr>
      <vt:lpstr>'N1293F-C172N'!Departure_Fuel_Weight</vt:lpstr>
      <vt:lpstr>'N13686-C172M '!Departure_Fuel_Weight</vt:lpstr>
      <vt:lpstr>'N4464R-C172M'!Departure_Fuel_Weight</vt:lpstr>
      <vt:lpstr>'N67375-C152 '!Departure_Fuel_Weight</vt:lpstr>
      <vt:lpstr>'N9989E-C182P'!Departure_Fuel_Weight</vt:lpstr>
      <vt:lpstr>Departure_Fuel_Weight</vt:lpstr>
      <vt:lpstr>'N121M-C182Q'!Empty_Arm</vt:lpstr>
      <vt:lpstr>'N1293F-C172N'!Empty_Arm</vt:lpstr>
      <vt:lpstr>'N13686-C172M '!Empty_Arm</vt:lpstr>
      <vt:lpstr>'N4464R-C172M'!Empty_Arm</vt:lpstr>
      <vt:lpstr>'N67375-C152 '!Empty_Arm</vt:lpstr>
      <vt:lpstr>'N9989E-C182P'!Empty_Arm</vt:lpstr>
      <vt:lpstr>Empty_Arm</vt:lpstr>
      <vt:lpstr>'N121M-C182Q'!Empty_Moment</vt:lpstr>
      <vt:lpstr>'N1293F-C172N'!Empty_Moment</vt:lpstr>
      <vt:lpstr>'N13686-C172M '!Empty_Moment</vt:lpstr>
      <vt:lpstr>'N4464R-C172M'!Empty_Moment</vt:lpstr>
      <vt:lpstr>'N67375-C152 '!Empty_Moment</vt:lpstr>
      <vt:lpstr>'N9989E-C182P'!Empty_Moment</vt:lpstr>
      <vt:lpstr>Empty_Moment</vt:lpstr>
      <vt:lpstr>'N121M-C182Q'!Empty_Weight</vt:lpstr>
      <vt:lpstr>'N1293F-C172N'!Empty_Weight</vt:lpstr>
      <vt:lpstr>'N13686-C172M '!Empty_Weight</vt:lpstr>
      <vt:lpstr>'N4464R-C172M'!Empty_Weight</vt:lpstr>
      <vt:lpstr>'N67375-C152 '!Empty_Weight</vt:lpstr>
      <vt:lpstr>'N9989E-C182P'!Empty_Weight</vt:lpstr>
      <vt:lpstr>Empty_Weight</vt:lpstr>
      <vt:lpstr>'N121M-C182Q'!Front_Passenger_Arm</vt:lpstr>
      <vt:lpstr>'N1293F-C172N'!Front_Passenger_Arm</vt:lpstr>
      <vt:lpstr>'N13686-C172M '!Front_Passenger_Arm</vt:lpstr>
      <vt:lpstr>'N4464R-C172M'!Front_Passenger_Arm</vt:lpstr>
      <vt:lpstr>'N67375-C152 '!Front_Passenger_Arm</vt:lpstr>
      <vt:lpstr>'N9989E-C182P'!Front_Passenger_Arm</vt:lpstr>
      <vt:lpstr>Front_Passenger_Arm</vt:lpstr>
      <vt:lpstr>'N121M-C182Q'!Front_Passenger_Moment</vt:lpstr>
      <vt:lpstr>'N1293F-C172N'!Front_Passenger_Moment</vt:lpstr>
      <vt:lpstr>'N13686-C172M '!Front_Passenger_Moment</vt:lpstr>
      <vt:lpstr>'N4464R-C172M'!Front_Passenger_Moment</vt:lpstr>
      <vt:lpstr>'N67375-C152 '!Front_Passenger_Moment</vt:lpstr>
      <vt:lpstr>'N9989E-C182P'!Front_Passenger_Moment</vt:lpstr>
      <vt:lpstr>Front_Passenger_Moment</vt:lpstr>
      <vt:lpstr>'N121M-C182Q'!Front_Passengers</vt:lpstr>
      <vt:lpstr>'N1293F-C172N'!Front_Passengers</vt:lpstr>
      <vt:lpstr>'N13686-C172M '!Front_Passengers</vt:lpstr>
      <vt:lpstr>'N4464R-C172M'!Front_Passengers</vt:lpstr>
      <vt:lpstr>'N67375-C152 '!Front_Passengers</vt:lpstr>
      <vt:lpstr>'N9989E-C182P'!Front_Passengers</vt:lpstr>
      <vt:lpstr>Front_Passengers</vt:lpstr>
      <vt:lpstr>'N121M-C182Q'!Fuel_Arm</vt:lpstr>
      <vt:lpstr>'N1293F-C172N'!Fuel_Arm</vt:lpstr>
      <vt:lpstr>'N13686-C172M '!Fuel_Arm</vt:lpstr>
      <vt:lpstr>'N4464R-C172M'!Fuel_Arm</vt:lpstr>
      <vt:lpstr>'N67375-C152 '!Fuel_Arm</vt:lpstr>
      <vt:lpstr>'N9989E-C182P'!Fuel_Arm</vt:lpstr>
      <vt:lpstr>Fuel_Arm</vt:lpstr>
      <vt:lpstr>'N121M-C182Q'!Grnd_Ops_Fuel</vt:lpstr>
      <vt:lpstr>'N1293F-C172N'!Grnd_Ops_Fuel</vt:lpstr>
      <vt:lpstr>'N13686-C172M '!Grnd_Ops_Fuel</vt:lpstr>
      <vt:lpstr>'N4464R-C172M'!Grnd_Ops_Fuel</vt:lpstr>
      <vt:lpstr>'N67375-C152 '!Grnd_Ops_Fuel</vt:lpstr>
      <vt:lpstr>'N9989E-C182P'!Grnd_Ops_Fuel</vt:lpstr>
      <vt:lpstr>Grnd_Ops_Fuel</vt:lpstr>
      <vt:lpstr>'N121M-C182Q'!Grnd_Ops_Fuel_Weight</vt:lpstr>
      <vt:lpstr>'N1293F-C172N'!Grnd_Ops_Fuel_Weight</vt:lpstr>
      <vt:lpstr>'N13686-C172M '!Grnd_Ops_Fuel_Weight</vt:lpstr>
      <vt:lpstr>'N4464R-C172M'!Grnd_Ops_Fuel_Weight</vt:lpstr>
      <vt:lpstr>'N67375-C152 '!Grnd_Ops_Fuel_Weight</vt:lpstr>
      <vt:lpstr>'N9989E-C182P'!Grnd_Ops_Fuel_Weight</vt:lpstr>
      <vt:lpstr>Grnd_Ops_Fuel_Weight</vt:lpstr>
      <vt:lpstr>'N121M-C182Q'!Print_Area</vt:lpstr>
      <vt:lpstr>'N1293F-C172N'!Print_Area</vt:lpstr>
      <vt:lpstr>'N13686-C172M '!Print_Area</vt:lpstr>
      <vt:lpstr>'N4464R-C172M'!Print_Area</vt:lpstr>
      <vt:lpstr>'N67375-C152 '!Print_Area</vt:lpstr>
      <vt:lpstr>'N7593S-C182Q'!Print_Area</vt:lpstr>
      <vt:lpstr>'N9989E-C182P'!Print_Area</vt:lpstr>
      <vt:lpstr>'Trip Planner - Distance '!Print_Area</vt:lpstr>
      <vt:lpstr>'N121M-C182Q'!Rear_Passenger_Arm</vt:lpstr>
      <vt:lpstr>'N1293F-C172N'!Rear_Passenger_Arm</vt:lpstr>
      <vt:lpstr>'N13686-C172M '!Rear_Passenger_Arm</vt:lpstr>
      <vt:lpstr>'N4464R-C172M'!Rear_Passenger_Arm</vt:lpstr>
      <vt:lpstr>'N9989E-C182P'!Rear_Passenger_Arm</vt:lpstr>
      <vt:lpstr>Rear_Passenger_Arm</vt:lpstr>
      <vt:lpstr>'N121M-C182Q'!Rear_Passenger_Moment</vt:lpstr>
      <vt:lpstr>'N1293F-C172N'!Rear_Passenger_Moment</vt:lpstr>
      <vt:lpstr>'N13686-C172M '!Rear_Passenger_Moment</vt:lpstr>
      <vt:lpstr>'N4464R-C172M'!Rear_Passenger_Moment</vt:lpstr>
      <vt:lpstr>'N9989E-C182P'!Rear_Passenger_Moment</vt:lpstr>
      <vt:lpstr>Rear_Passenger_Moment</vt:lpstr>
      <vt:lpstr>'N121M-C182Q'!Rear_Passengers</vt:lpstr>
      <vt:lpstr>'N1293F-C172N'!Rear_Passengers</vt:lpstr>
      <vt:lpstr>'N13686-C172M '!Rear_Passengers</vt:lpstr>
      <vt:lpstr>'N4464R-C172M'!Rear_Passengers</vt:lpstr>
      <vt:lpstr>'N9989E-C182P'!Rear_Passengers</vt:lpstr>
      <vt:lpstr>Rear_Passengers</vt:lpstr>
      <vt:lpstr>'N121M-C182Q'!Total_Arrival_Arm</vt:lpstr>
      <vt:lpstr>'N1293F-C172N'!Total_Arrival_Arm</vt:lpstr>
      <vt:lpstr>'N13686-C172M '!Total_Arrival_Arm</vt:lpstr>
      <vt:lpstr>'N4464R-C172M'!Total_Arrival_Arm</vt:lpstr>
      <vt:lpstr>'N67375-C152 '!Total_Arrival_Arm</vt:lpstr>
      <vt:lpstr>'N9989E-C182P'!Total_Arrival_Arm</vt:lpstr>
      <vt:lpstr>Total_Arrival_Arm</vt:lpstr>
      <vt:lpstr>'N121M-C182Q'!Total_Arrival_Moment</vt:lpstr>
      <vt:lpstr>'N1293F-C172N'!Total_Arrival_Moment</vt:lpstr>
      <vt:lpstr>'N13686-C172M '!Total_Arrival_Moment</vt:lpstr>
      <vt:lpstr>'N4464R-C172M'!Total_Arrival_Moment</vt:lpstr>
      <vt:lpstr>'N67375-C152 '!Total_Arrival_Moment</vt:lpstr>
      <vt:lpstr>'N9989E-C182P'!Total_Arrival_Moment</vt:lpstr>
      <vt:lpstr>Total_Arrival_Moment</vt:lpstr>
      <vt:lpstr>'N121M-C182Q'!Total_Arrival_Weight</vt:lpstr>
      <vt:lpstr>'N1293F-C172N'!Total_Arrival_Weight</vt:lpstr>
      <vt:lpstr>'N13686-C172M '!Total_Arrival_Weight</vt:lpstr>
      <vt:lpstr>'N4464R-C172M'!Total_Arrival_Weight</vt:lpstr>
      <vt:lpstr>'N67375-C152 '!Total_Arrival_Weight</vt:lpstr>
      <vt:lpstr>'N9989E-C182P'!Total_Arrival_Weight</vt:lpstr>
      <vt:lpstr>Total_Arrival_Weight</vt:lpstr>
      <vt:lpstr>'N121M-C182Q'!Total_Departure_Arm</vt:lpstr>
      <vt:lpstr>'N1293F-C172N'!Total_Departure_Arm</vt:lpstr>
      <vt:lpstr>'N13686-C172M '!Total_Departure_Arm</vt:lpstr>
      <vt:lpstr>'N4464R-C172M'!Total_Departure_Arm</vt:lpstr>
      <vt:lpstr>'N67375-C152 '!Total_Departure_Arm</vt:lpstr>
      <vt:lpstr>'N9989E-C182P'!Total_Departure_Arm</vt:lpstr>
      <vt:lpstr>Total_Departure_Arm</vt:lpstr>
      <vt:lpstr>'N121M-C182Q'!Total_Departure_Moment</vt:lpstr>
      <vt:lpstr>'N1293F-C172N'!Total_Departure_Moment</vt:lpstr>
      <vt:lpstr>'N13686-C172M '!Total_Departure_Moment</vt:lpstr>
      <vt:lpstr>'N4464R-C172M'!Total_Departure_Moment</vt:lpstr>
      <vt:lpstr>'N67375-C152 '!Total_Departure_Moment</vt:lpstr>
      <vt:lpstr>'N9989E-C182P'!Total_Departure_Moment</vt:lpstr>
      <vt:lpstr>Total_Departure_Moment</vt:lpstr>
      <vt:lpstr>'N121M-C182Q'!Total_Departure_Weight</vt:lpstr>
      <vt:lpstr>'N1293F-C172N'!Total_Departure_Weight</vt:lpstr>
      <vt:lpstr>'N13686-C172M '!Total_Departure_Weight</vt:lpstr>
      <vt:lpstr>'N4464R-C172M'!Total_Departure_Weight</vt:lpstr>
      <vt:lpstr>'N67375-C152 '!Total_Departure_Weight</vt:lpstr>
      <vt:lpstr>'N9989E-C182P'!Total_Departure_Weight</vt:lpstr>
      <vt:lpstr>Total_Departure_Weight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jim hudson</cp:lastModifiedBy>
  <cp:revision/>
  <dcterms:created xsi:type="dcterms:W3CDTF">2016-03-26T18:30:59Z</dcterms:created>
  <dcterms:modified xsi:type="dcterms:W3CDTF">2025-04-02T01:59:19Z</dcterms:modified>
  <cp:category/>
  <cp:contentStatus/>
</cp:coreProperties>
</file>